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 defaultThemeVersion="124226"/>
  <bookViews>
    <workbookView xWindow="165" yWindow="1005" windowWidth="12120" windowHeight="9120" tabRatio="752" activeTab="1"/>
  </bookViews>
  <sheets>
    <sheet name="all" sheetId="11" r:id="rId1"/>
    <sheet name="Sheet1" sheetId="44" r:id="rId2"/>
  </sheets>
  <definedNames>
    <definedName name="_xlnm.Database" localSheetId="0">all!$A$1:$CR$94</definedName>
    <definedName name="_xlnm.Database">#REF!</definedName>
    <definedName name="_xlnm.Print_Area" localSheetId="0">all!$1:$1</definedName>
  </definedNames>
  <calcPr calcId="125725" fullCalcOnLoad="1"/>
  <customWorkbookViews>
    <customWorkbookView name="Ann Muhs - Personal View" guid="{2AE4F30F-5E37-11D9-B09F-F2184E1B74ED}" mergeInterval="0" personalView="1" xWindow="4" yWindow="13" windowWidth="957" windowHeight="592" tabRatio="962" activeSheetId="1"/>
    <customWorkbookView name="aaa" guid="{2AE4F30D-5E37-11D9-B09F-F2184E1B74ED}" xWindow="4" yWindow="13" windowWidth="957" windowHeight="592" tabRatio="962" activeSheetId="1" showComments="commIndAndComment"/>
  </customWorkbookViews>
</workbook>
</file>

<file path=xl/calcChain.xml><?xml version="1.0" encoding="utf-8"?>
<calcChain xmlns="http://schemas.openxmlformats.org/spreadsheetml/2006/main">
  <c r="BY18" i="11"/>
  <c r="BZ18"/>
  <c r="CD18" s="1"/>
  <c r="CC18"/>
  <c r="BS18"/>
  <c r="BT18"/>
  <c r="BG123"/>
  <c r="BY121"/>
  <c r="CC121" s="1"/>
  <c r="BZ121"/>
  <c r="CD121"/>
  <c r="CB121"/>
  <c r="BS121"/>
  <c r="BT121"/>
  <c r="BO71"/>
  <c r="BP71"/>
  <c r="BO69"/>
  <c r="BP69"/>
  <c r="BN71"/>
  <c r="BY14"/>
  <c r="CC14" s="1"/>
  <c r="BS14"/>
  <c r="BX107"/>
  <c r="BG73"/>
  <c r="BG58"/>
  <c r="AM2"/>
  <c r="BY2"/>
  <c r="BZ2" s="1"/>
  <c r="CD2" s="1"/>
  <c r="BU2"/>
  <c r="CA2" s="1"/>
  <c r="BS2"/>
  <c r="BT2"/>
  <c r="BO2"/>
  <c r="BP2" s="1"/>
  <c r="BJ2"/>
  <c r="BK2"/>
  <c r="AL2"/>
  <c r="AK2"/>
  <c r="AD2"/>
  <c r="AR2"/>
  <c r="AU2"/>
  <c r="J2"/>
  <c r="BG81"/>
  <c r="BG59"/>
  <c r="BG69"/>
  <c r="BG120"/>
  <c r="BG55"/>
  <c r="BG65"/>
  <c r="BG113"/>
  <c r="BG52"/>
  <c r="BG66"/>
  <c r="BG85"/>
  <c r="BG53"/>
  <c r="BG67"/>
  <c r="BG117"/>
  <c r="BG54"/>
  <c r="BG64"/>
  <c r="BG106"/>
  <c r="BG51"/>
  <c r="BG79"/>
  <c r="BG48"/>
  <c r="BG49"/>
  <c r="BG50"/>
  <c r="BG56"/>
  <c r="BG60"/>
  <c r="BG68"/>
  <c r="BG71"/>
  <c r="BG75"/>
  <c r="BG78"/>
  <c r="BY11"/>
  <c r="BZ11"/>
  <c r="CD11"/>
  <c r="CC11"/>
  <c r="BS11"/>
  <c r="CP19"/>
  <c r="BY19"/>
  <c r="BZ19"/>
  <c r="CB19"/>
  <c r="CC19" s="1"/>
  <c r="CD19" s="1"/>
  <c r="BO19"/>
  <c r="BP19" s="1"/>
  <c r="BN19"/>
  <c r="BO12"/>
  <c r="BP12" s="1"/>
  <c r="AM4"/>
  <c r="AM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107"/>
  <c r="AM108"/>
  <c r="AM109"/>
  <c r="AM110"/>
  <c r="AM111"/>
  <c r="AM112"/>
  <c r="AM113"/>
  <c r="AM114"/>
  <c r="AM115"/>
  <c r="AM116"/>
  <c r="AM117"/>
  <c r="AM118"/>
  <c r="AM119"/>
  <c r="AM120"/>
  <c r="AM121"/>
  <c r="AM122"/>
  <c r="AM123"/>
  <c r="AM3"/>
  <c r="AK3"/>
  <c r="CH28"/>
  <c r="CP28"/>
  <c r="CH114"/>
  <c r="BN114"/>
  <c r="S124"/>
  <c r="R124"/>
  <c r="Q124"/>
  <c r="P124"/>
  <c r="O124"/>
  <c r="BG110"/>
  <c r="BJ110"/>
  <c r="BO110" s="1"/>
  <c r="CH122"/>
  <c r="CH119"/>
  <c r="CH118"/>
  <c r="CH116"/>
  <c r="CH115"/>
  <c r="CH111"/>
  <c r="CH110"/>
  <c r="CH109"/>
  <c r="CH108"/>
  <c r="CH107"/>
  <c r="CH102"/>
  <c r="CH101"/>
  <c r="CH99"/>
  <c r="CH97"/>
  <c r="CH95"/>
  <c r="CH93"/>
  <c r="CH90"/>
  <c r="CH88"/>
  <c r="CH87"/>
  <c r="CC81"/>
  <c r="CD81"/>
  <c r="CH81"/>
  <c r="CH77"/>
  <c r="CH76"/>
  <c r="CH74"/>
  <c r="CH70"/>
  <c r="CH67"/>
  <c r="CH65"/>
  <c r="CH64"/>
  <c r="CH63"/>
  <c r="CH61"/>
  <c r="BO57"/>
  <c r="BN57"/>
  <c r="CH55"/>
  <c r="CH47"/>
  <c r="CH45"/>
  <c r="CH43"/>
  <c r="CH41"/>
  <c r="CH39"/>
  <c r="CH35"/>
  <c r="CH34"/>
  <c r="CH33"/>
  <c r="CH32"/>
  <c r="CH30"/>
  <c r="CH29"/>
  <c r="CH22"/>
  <c r="CH20"/>
  <c r="CH16"/>
  <c r="CH14"/>
  <c r="CH12"/>
  <c r="CH10"/>
  <c r="CH7"/>
  <c r="CH11"/>
  <c r="CH24"/>
  <c r="CH59"/>
  <c r="BO85"/>
  <c r="BP85"/>
  <c r="BN85"/>
  <c r="BU54"/>
  <c r="CA54" s="1"/>
  <c r="CC54"/>
  <c r="CD54" s="1"/>
  <c r="BO31"/>
  <c r="CC58"/>
  <c r="CD58" s="1"/>
  <c r="CC52"/>
  <c r="CD52"/>
  <c r="CA52"/>
  <c r="BX52"/>
  <c r="BY52" s="1"/>
  <c r="BZ52" s="1"/>
  <c r="CB30"/>
  <c r="CC30"/>
  <c r="CD30"/>
  <c r="CB45"/>
  <c r="CC45" s="1"/>
  <c r="CD45"/>
  <c r="CC29"/>
  <c r="CD29"/>
  <c r="CC24"/>
  <c r="CD24"/>
  <c r="BG62"/>
  <c r="CB62"/>
  <c r="CC62" s="1"/>
  <c r="CD62" s="1"/>
  <c r="CC59"/>
  <c r="CD59" s="1"/>
  <c r="CB6"/>
  <c r="CC6"/>
  <c r="CD6"/>
  <c r="BX29"/>
  <c r="BX59"/>
  <c r="BY59"/>
  <c r="BZ59" s="1"/>
  <c r="BX54"/>
  <c r="BY54"/>
  <c r="BZ54" s="1"/>
  <c r="CA53"/>
  <c r="CA12"/>
  <c r="CA55"/>
  <c r="CA56"/>
  <c r="CA58"/>
  <c r="CA59"/>
  <c r="CA60"/>
  <c r="BU62"/>
  <c r="CA64"/>
  <c r="BU65"/>
  <c r="CA65"/>
  <c r="CA67"/>
  <c r="CA24"/>
  <c r="CA68"/>
  <c r="CA69"/>
  <c r="CA25"/>
  <c r="CA74"/>
  <c r="CA76"/>
  <c r="CA81"/>
  <c r="CA29"/>
  <c r="CA87"/>
  <c r="BU30"/>
  <c r="CA31"/>
  <c r="CA93"/>
  <c r="CA101"/>
  <c r="CA102"/>
  <c r="CA103"/>
  <c r="CA106"/>
  <c r="CA110"/>
  <c r="CA112"/>
  <c r="CA43"/>
  <c r="BU45"/>
  <c r="CA46"/>
  <c r="CA123"/>
  <c r="BU3"/>
  <c r="CA3" s="1"/>
  <c r="BU4"/>
  <c r="CA4" s="1"/>
  <c r="BU5"/>
  <c r="CA5"/>
  <c r="BU48"/>
  <c r="CA48" s="1"/>
  <c r="BU49"/>
  <c r="CA49" s="1"/>
  <c r="CA50"/>
  <c r="BU51"/>
  <c r="CA51"/>
  <c r="BU7"/>
  <c r="CA7"/>
  <c r="BU8"/>
  <c r="CA8"/>
  <c r="BU9"/>
  <c r="CA9"/>
  <c r="BU10"/>
  <c r="CA10"/>
  <c r="BU11"/>
  <c r="CA11"/>
  <c r="BU13"/>
  <c r="CA13"/>
  <c r="BU14"/>
  <c r="CA14"/>
  <c r="BU15"/>
  <c r="CA15"/>
  <c r="BU16"/>
  <c r="CA16"/>
  <c r="BU17"/>
  <c r="CA17"/>
  <c r="BU18"/>
  <c r="CA18"/>
  <c r="BU19"/>
  <c r="BU20"/>
  <c r="CA20" s="1"/>
  <c r="BU21"/>
  <c r="CA21" s="1"/>
  <c r="BU22"/>
  <c r="CA22"/>
  <c r="BU23"/>
  <c r="CA23" s="1"/>
  <c r="BU57"/>
  <c r="CA57" s="1"/>
  <c r="BU61"/>
  <c r="CA61" s="1"/>
  <c r="BU63"/>
  <c r="CA63"/>
  <c r="BU66"/>
  <c r="CA66" s="1"/>
  <c r="BU70"/>
  <c r="CA70" s="1"/>
  <c r="BU71"/>
  <c r="CA71" s="1"/>
  <c r="BU72"/>
  <c r="CA72"/>
  <c r="BU73"/>
  <c r="CA73" s="1"/>
  <c r="BU75"/>
  <c r="CA75" s="1"/>
  <c r="CA77"/>
  <c r="BU78"/>
  <c r="CA78"/>
  <c r="BU79"/>
  <c r="CA79"/>
  <c r="BU26"/>
  <c r="CA26"/>
  <c r="BU80"/>
  <c r="CA80"/>
  <c r="BU27"/>
  <c r="CA27"/>
  <c r="BU82"/>
  <c r="CA82"/>
  <c r="BU28"/>
  <c r="CA28"/>
  <c r="BU83"/>
  <c r="CA83"/>
  <c r="BU84"/>
  <c r="CA84"/>
  <c r="BU85"/>
  <c r="CA85"/>
  <c r="BU86"/>
  <c r="CA86"/>
  <c r="BU88"/>
  <c r="CA88"/>
  <c r="BU89"/>
  <c r="CA89"/>
  <c r="BU90"/>
  <c r="CA90"/>
  <c r="BU91"/>
  <c r="CA91"/>
  <c r="BU92"/>
  <c r="CA92"/>
  <c r="BU32"/>
  <c r="CA32"/>
  <c r="BU94"/>
  <c r="CA94"/>
  <c r="BU33"/>
  <c r="CA33"/>
  <c r="BU95"/>
  <c r="CA95"/>
  <c r="BU96"/>
  <c r="CA96"/>
  <c r="BU34"/>
  <c r="CA34"/>
  <c r="BU97"/>
  <c r="CA97"/>
  <c r="BU35"/>
  <c r="CA35"/>
  <c r="BU98"/>
  <c r="CA98"/>
  <c r="BU99"/>
  <c r="CA99"/>
  <c r="CA36"/>
  <c r="BU100"/>
  <c r="CA100" s="1"/>
  <c r="BU37"/>
  <c r="CA37" s="1"/>
  <c r="BU104"/>
  <c r="CA104"/>
  <c r="CA105"/>
  <c r="BU38"/>
  <c r="CA38"/>
  <c r="BU107"/>
  <c r="CA107" s="1"/>
  <c r="CA108"/>
  <c r="CA109"/>
  <c r="BU111"/>
  <c r="CA111" s="1"/>
  <c r="BU39"/>
  <c r="CA39"/>
  <c r="BU113"/>
  <c r="CA113" s="1"/>
  <c r="BU40"/>
  <c r="CA40"/>
  <c r="CA114"/>
  <c r="CA115"/>
  <c r="CA41"/>
  <c r="CA116"/>
  <c r="BU42"/>
  <c r="CA42" s="1"/>
  <c r="BU117"/>
  <c r="CA117"/>
  <c r="CA118"/>
  <c r="CA44"/>
  <c r="CA119"/>
  <c r="BU120"/>
  <c r="CA120"/>
  <c r="BU122"/>
  <c r="CA122" s="1"/>
  <c r="BU47"/>
  <c r="CA47" s="1"/>
  <c r="BU6"/>
  <c r="BY4"/>
  <c r="CC4"/>
  <c r="BZ4"/>
  <c r="CD4"/>
  <c r="BY5"/>
  <c r="CC5"/>
  <c r="BZ5"/>
  <c r="CD5"/>
  <c r="BX6"/>
  <c r="BY6"/>
  <c r="BZ6" s="1"/>
  <c r="BY7"/>
  <c r="CC7" s="1"/>
  <c r="BY8"/>
  <c r="CC8" s="1"/>
  <c r="BZ8"/>
  <c r="CD8" s="1"/>
  <c r="BY9"/>
  <c r="CC9" s="1"/>
  <c r="BY10"/>
  <c r="CC10" s="1"/>
  <c r="BZ10"/>
  <c r="CD10" s="1"/>
  <c r="BX12"/>
  <c r="BY12" s="1"/>
  <c r="CC12" s="1"/>
  <c r="BZ12"/>
  <c r="CD12" s="1"/>
  <c r="BY13"/>
  <c r="CC13"/>
  <c r="BZ13"/>
  <c r="CD13" s="1"/>
  <c r="BX15"/>
  <c r="BY15"/>
  <c r="BZ15" s="1"/>
  <c r="CD15" s="1"/>
  <c r="CC15"/>
  <c r="BX16"/>
  <c r="BY16" s="1"/>
  <c r="BY17"/>
  <c r="BZ17" s="1"/>
  <c r="CD17"/>
  <c r="BY20"/>
  <c r="BZ20" s="1"/>
  <c r="CC20"/>
  <c r="CD20"/>
  <c r="BY21"/>
  <c r="BZ21" s="1"/>
  <c r="CD21" s="1"/>
  <c r="BY22"/>
  <c r="BZ22" s="1"/>
  <c r="CD22" s="1"/>
  <c r="CC22"/>
  <c r="BY23"/>
  <c r="BZ23" s="1"/>
  <c r="CD23"/>
  <c r="BX24"/>
  <c r="BY24"/>
  <c r="BZ24" s="1"/>
  <c r="BX25"/>
  <c r="BY25"/>
  <c r="BZ25" s="1"/>
  <c r="CD25" s="1"/>
  <c r="BY26"/>
  <c r="BZ26" s="1"/>
  <c r="CD26" s="1"/>
  <c r="CC26"/>
  <c r="BY27"/>
  <c r="BZ27" s="1"/>
  <c r="CD27"/>
  <c r="BY28"/>
  <c r="BZ28" s="1"/>
  <c r="CC28"/>
  <c r="CD28"/>
  <c r="BY29"/>
  <c r="BZ29" s="1"/>
  <c r="BX30"/>
  <c r="BY30"/>
  <c r="BZ30"/>
  <c r="BX31"/>
  <c r="BY31" s="1"/>
  <c r="CC31"/>
  <c r="BZ31"/>
  <c r="CD31"/>
  <c r="BX32"/>
  <c r="BY32"/>
  <c r="CC32" s="1"/>
  <c r="BZ32"/>
  <c r="CD32" s="1"/>
  <c r="BY33"/>
  <c r="CC33"/>
  <c r="BZ33"/>
  <c r="CD33" s="1"/>
  <c r="BX34"/>
  <c r="BY34" s="1"/>
  <c r="BX35"/>
  <c r="BY35" s="1"/>
  <c r="BY36"/>
  <c r="CC36" s="1"/>
  <c r="BY37"/>
  <c r="CC37" s="1"/>
  <c r="BZ37"/>
  <c r="CD37" s="1"/>
  <c r="BY38"/>
  <c r="CC38" s="1"/>
  <c r="BY39"/>
  <c r="CC39" s="1"/>
  <c r="BZ39"/>
  <c r="CD39" s="1"/>
  <c r="BY40"/>
  <c r="CC40" s="1"/>
  <c r="BY41"/>
  <c r="CC41" s="1"/>
  <c r="BZ41"/>
  <c r="CD41" s="1"/>
  <c r="BY42"/>
  <c r="CC42" s="1"/>
  <c r="BX43"/>
  <c r="BY43" s="1"/>
  <c r="CC43"/>
  <c r="BZ43"/>
  <c r="CD43"/>
  <c r="BY44"/>
  <c r="CC44"/>
  <c r="BZ44"/>
  <c r="CD44"/>
  <c r="BX45"/>
  <c r="BY45"/>
  <c r="BZ45" s="1"/>
  <c r="BX46"/>
  <c r="BY46" s="1"/>
  <c r="BZ46" s="1"/>
  <c r="CD46" s="1"/>
  <c r="BX47"/>
  <c r="BY47"/>
  <c r="CC47"/>
  <c r="BZ47"/>
  <c r="CD47" s="1"/>
  <c r="BX48"/>
  <c r="BY48" s="1"/>
  <c r="BX49"/>
  <c r="BY49" s="1"/>
  <c r="CC50"/>
  <c r="CD50"/>
  <c r="BX51"/>
  <c r="BY51" s="1"/>
  <c r="BX53"/>
  <c r="BY53" s="1"/>
  <c r="BX55"/>
  <c r="BY55" s="1"/>
  <c r="CC55" s="1"/>
  <c r="BZ55"/>
  <c r="CD55" s="1"/>
  <c r="BX56"/>
  <c r="BY56"/>
  <c r="BZ56" s="1"/>
  <c r="CD56" s="1"/>
  <c r="CC56"/>
  <c r="BX57"/>
  <c r="BY57" s="1"/>
  <c r="BY58"/>
  <c r="BZ58" s="1"/>
  <c r="BX60"/>
  <c r="CB60" s="1"/>
  <c r="BX61"/>
  <c r="BY61" s="1"/>
  <c r="BX62"/>
  <c r="BY62" s="1"/>
  <c r="BZ62" s="1"/>
  <c r="BX63"/>
  <c r="BY63" s="1"/>
  <c r="BX64"/>
  <c r="BY64" s="1"/>
  <c r="CC64" s="1"/>
  <c r="BZ64"/>
  <c r="CD64" s="1"/>
  <c r="BX65"/>
  <c r="BY65"/>
  <c r="BZ65" s="1"/>
  <c r="CD65" s="1"/>
  <c r="CC65"/>
  <c r="BX66"/>
  <c r="BY66" s="1"/>
  <c r="BX67"/>
  <c r="BY67" s="1"/>
  <c r="BX68"/>
  <c r="BY68" s="1"/>
  <c r="CC68" s="1"/>
  <c r="BZ68"/>
  <c r="CD68" s="1"/>
  <c r="BX69"/>
  <c r="BY69"/>
  <c r="BZ69" s="1"/>
  <c r="CD69" s="1"/>
  <c r="CC69"/>
  <c r="BX70"/>
  <c r="BY70" s="1"/>
  <c r="BX71"/>
  <c r="BY71" s="1"/>
  <c r="BY72"/>
  <c r="CC72" s="1"/>
  <c r="BX73"/>
  <c r="BY73" s="1"/>
  <c r="CC73"/>
  <c r="BZ73"/>
  <c r="CD73"/>
  <c r="BX74"/>
  <c r="BY74"/>
  <c r="CC74" s="1"/>
  <c r="BZ74"/>
  <c r="CD74" s="1"/>
  <c r="BX75"/>
  <c r="BY75"/>
  <c r="BZ75" s="1"/>
  <c r="CD75"/>
  <c r="BX76"/>
  <c r="BY76"/>
  <c r="CC76" s="1"/>
  <c r="BX77"/>
  <c r="BY77" s="1"/>
  <c r="CC77"/>
  <c r="BZ77"/>
  <c r="CD77"/>
  <c r="BY78"/>
  <c r="CC78"/>
  <c r="BZ78"/>
  <c r="CD78"/>
  <c r="BX79"/>
  <c r="BY79"/>
  <c r="CC79" s="1"/>
  <c r="BZ79"/>
  <c r="CD79" s="1"/>
  <c r="BY80"/>
  <c r="CC80"/>
  <c r="BZ80"/>
  <c r="CD80" s="1"/>
  <c r="BX81"/>
  <c r="BY81" s="1"/>
  <c r="BZ81" s="1"/>
  <c r="BX82"/>
  <c r="BY82"/>
  <c r="BZ82" s="1"/>
  <c r="CD82" s="1"/>
  <c r="BX83"/>
  <c r="BY83"/>
  <c r="BZ83" s="1"/>
  <c r="CD83" s="1"/>
  <c r="BX84"/>
  <c r="BY84"/>
  <c r="CC84" s="1"/>
  <c r="BX85"/>
  <c r="BY85" s="1"/>
  <c r="BZ85" s="1"/>
  <c r="CD85" s="1"/>
  <c r="CC85"/>
  <c r="BX86"/>
  <c r="BY86"/>
  <c r="BZ86" s="1"/>
  <c r="CD86" s="1"/>
  <c r="BX87"/>
  <c r="BY87"/>
  <c r="BZ87" s="1"/>
  <c r="CD87" s="1"/>
  <c r="BX88"/>
  <c r="BY88"/>
  <c r="CC88" s="1"/>
  <c r="BX89"/>
  <c r="BY89" s="1"/>
  <c r="BZ89" s="1"/>
  <c r="CD89" s="1"/>
  <c r="CC89"/>
  <c r="BX90"/>
  <c r="BY90"/>
  <c r="BZ90" s="1"/>
  <c r="CD90" s="1"/>
  <c r="BX91"/>
  <c r="BY91"/>
  <c r="BZ91" s="1"/>
  <c r="CD91" s="1"/>
  <c r="BX92"/>
  <c r="CB92" s="1"/>
  <c r="BX93"/>
  <c r="BY93"/>
  <c r="CC93" s="1"/>
  <c r="BZ93"/>
  <c r="CD93" s="1"/>
  <c r="BX94"/>
  <c r="BY94" s="1"/>
  <c r="BX95"/>
  <c r="BY95"/>
  <c r="BZ95" s="1"/>
  <c r="CD95" s="1"/>
  <c r="BX96"/>
  <c r="CB96" s="1"/>
  <c r="BX97"/>
  <c r="BY97"/>
  <c r="CC97" s="1"/>
  <c r="BZ97"/>
  <c r="CD97" s="1"/>
  <c r="BX98"/>
  <c r="BY98" s="1"/>
  <c r="BX99"/>
  <c r="BY99"/>
  <c r="BZ99" s="1"/>
  <c r="CD99" s="1"/>
  <c r="BX100"/>
  <c r="CB100" s="1"/>
  <c r="BX101"/>
  <c r="BY101"/>
  <c r="CC101" s="1"/>
  <c r="BZ101"/>
  <c r="CD101" s="1"/>
  <c r="BX102"/>
  <c r="BY102" s="1"/>
  <c r="BX103"/>
  <c r="BY103"/>
  <c r="BZ103" s="1"/>
  <c r="CD103" s="1"/>
  <c r="BY104"/>
  <c r="BZ104" s="1"/>
  <c r="CD104" s="1"/>
  <c r="BX105"/>
  <c r="CB105" s="1"/>
  <c r="BX106"/>
  <c r="BY106"/>
  <c r="CC106" s="1"/>
  <c r="BZ106"/>
  <c r="CD106" s="1"/>
  <c r="BY107"/>
  <c r="CC107" s="1"/>
  <c r="BZ107"/>
  <c r="CD107" s="1"/>
  <c r="BX108"/>
  <c r="BY108" s="1"/>
  <c r="BY109"/>
  <c r="CC109"/>
  <c r="BZ109"/>
  <c r="CD109"/>
  <c r="BX110"/>
  <c r="BY110"/>
  <c r="BZ110" s="1"/>
  <c r="CD110" s="1"/>
  <c r="BX111"/>
  <c r="BY111" s="1"/>
  <c r="BX112"/>
  <c r="BY112"/>
  <c r="CC112" s="1"/>
  <c r="BZ112"/>
  <c r="CD112" s="1"/>
  <c r="BX113"/>
  <c r="BY113" s="1"/>
  <c r="BY114"/>
  <c r="CC114"/>
  <c r="BZ114"/>
  <c r="CD114"/>
  <c r="BX115"/>
  <c r="BY115"/>
  <c r="BZ115" s="1"/>
  <c r="CD115" s="1"/>
  <c r="BY116"/>
  <c r="BZ116" s="1"/>
  <c r="CD116" s="1"/>
  <c r="BX117"/>
  <c r="BY117" s="1"/>
  <c r="BY118"/>
  <c r="BZ118" s="1"/>
  <c r="CD118" s="1"/>
  <c r="CC118"/>
  <c r="BY119"/>
  <c r="BZ119" s="1"/>
  <c r="CD119" s="1"/>
  <c r="CC119"/>
  <c r="BX120"/>
  <c r="BY120"/>
  <c r="CC120" s="1"/>
  <c r="BZ120"/>
  <c r="CD120" s="1"/>
  <c r="BX122"/>
  <c r="BY122" s="1"/>
  <c r="BX123"/>
  <c r="BY123"/>
  <c r="BZ123" s="1"/>
  <c r="CD123" s="1"/>
  <c r="BY3"/>
  <c r="CC3" s="1"/>
  <c r="CB48"/>
  <c r="CB51"/>
  <c r="CB53"/>
  <c r="CB55"/>
  <c r="CB56"/>
  <c r="CB57"/>
  <c r="CB61"/>
  <c r="CB63"/>
  <c r="CB64"/>
  <c r="CB65"/>
  <c r="CB66"/>
  <c r="CB67"/>
  <c r="CB68"/>
  <c r="CB69"/>
  <c r="CB70"/>
  <c r="CB71"/>
  <c r="CB73"/>
  <c r="CB74"/>
  <c r="CB75"/>
  <c r="CB76"/>
  <c r="CB77"/>
  <c r="CB79"/>
  <c r="CB82"/>
  <c r="CB83"/>
  <c r="CB84"/>
  <c r="CB85"/>
  <c r="CB86"/>
  <c r="CB87"/>
  <c r="CB88"/>
  <c r="CB89"/>
  <c r="CB90"/>
  <c r="CB91"/>
  <c r="CB93"/>
  <c r="CB94"/>
  <c r="CB95"/>
  <c r="CB97"/>
  <c r="CB98"/>
  <c r="CB99"/>
  <c r="CB101"/>
  <c r="CB102"/>
  <c r="CB103"/>
  <c r="CB106"/>
  <c r="CB107"/>
  <c r="CB109"/>
  <c r="CB110"/>
  <c r="CB111"/>
  <c r="CB112"/>
  <c r="CB113"/>
  <c r="CB115"/>
  <c r="CB116"/>
  <c r="CB118"/>
  <c r="CB119"/>
  <c r="CB120"/>
  <c r="CB123"/>
  <c r="CB47"/>
  <c r="CB46"/>
  <c r="CB44"/>
  <c r="CB43"/>
  <c r="CB36"/>
  <c r="CB35"/>
  <c r="CB32"/>
  <c r="CB31"/>
  <c r="CB25"/>
  <c r="CB20"/>
  <c r="CB16"/>
  <c r="CB15"/>
  <c r="CB12"/>
  <c r="BJ8"/>
  <c r="BJ45"/>
  <c r="BG108"/>
  <c r="BJ108"/>
  <c r="BO108" s="1"/>
  <c r="BP108" s="1"/>
  <c r="CH9"/>
  <c r="BS4"/>
  <c r="BT4"/>
  <c r="BS5"/>
  <c r="BT5" s="1"/>
  <c r="BS6"/>
  <c r="BT6"/>
  <c r="BS7"/>
  <c r="BT7" s="1"/>
  <c r="BS8"/>
  <c r="BT8"/>
  <c r="BS9"/>
  <c r="BT9" s="1"/>
  <c r="BS10"/>
  <c r="BT10"/>
  <c r="BT11"/>
  <c r="BS12"/>
  <c r="BT12" s="1"/>
  <c r="BS13"/>
  <c r="BT13" s="1"/>
  <c r="BT14"/>
  <c r="BS15"/>
  <c r="BT15"/>
  <c r="BS16"/>
  <c r="BT16" s="1"/>
  <c r="BS17"/>
  <c r="BT17"/>
  <c r="BS19"/>
  <c r="BT19" s="1"/>
  <c r="BS20"/>
  <c r="BT20"/>
  <c r="BS21"/>
  <c r="BT21" s="1"/>
  <c r="BS22"/>
  <c r="BT22"/>
  <c r="BS23"/>
  <c r="BT23" s="1"/>
  <c r="BS24"/>
  <c r="BT24"/>
  <c r="BS25"/>
  <c r="BT25" s="1"/>
  <c r="BS26"/>
  <c r="BT26"/>
  <c r="BS27"/>
  <c r="BT27" s="1"/>
  <c r="BS28"/>
  <c r="BT28"/>
  <c r="BS29"/>
  <c r="BT29" s="1"/>
  <c r="BS30"/>
  <c r="BT30"/>
  <c r="BS31"/>
  <c r="BT31" s="1"/>
  <c r="BS32"/>
  <c r="BT32"/>
  <c r="BS33"/>
  <c r="BT33" s="1"/>
  <c r="BS34"/>
  <c r="BT34"/>
  <c r="BS35"/>
  <c r="BT35" s="1"/>
  <c r="BS36"/>
  <c r="BT36"/>
  <c r="BS37"/>
  <c r="BT37" s="1"/>
  <c r="BS38"/>
  <c r="BT38"/>
  <c r="BS39"/>
  <c r="BT39" s="1"/>
  <c r="BS40"/>
  <c r="BT40"/>
  <c r="BS41"/>
  <c r="BT41" s="1"/>
  <c r="BS42"/>
  <c r="BT42"/>
  <c r="BS43"/>
  <c r="BT43" s="1"/>
  <c r="BS44"/>
  <c r="BT44"/>
  <c r="BS45"/>
  <c r="BT45" s="1"/>
  <c r="BS46"/>
  <c r="BT46"/>
  <c r="BS47"/>
  <c r="BT47" s="1"/>
  <c r="BS48"/>
  <c r="BT48"/>
  <c r="BS49"/>
  <c r="BT49" s="1"/>
  <c r="BS51"/>
  <c r="BT51"/>
  <c r="BS52"/>
  <c r="BT52" s="1"/>
  <c r="BS53"/>
  <c r="BT53"/>
  <c r="BJ54"/>
  <c r="BS54" s="1"/>
  <c r="BT54" s="1"/>
  <c r="BS55"/>
  <c r="BT55" s="1"/>
  <c r="BS56"/>
  <c r="BT56" s="1"/>
  <c r="BS57"/>
  <c r="BT57" s="1"/>
  <c r="BS58"/>
  <c r="BT58" s="1"/>
  <c r="BS59"/>
  <c r="BT59" s="1"/>
  <c r="BS60"/>
  <c r="BT60" s="1"/>
  <c r="BS61"/>
  <c r="BT61" s="1"/>
  <c r="BJ62"/>
  <c r="BS62" s="1"/>
  <c r="BT62" s="1"/>
  <c r="BS63"/>
  <c r="BT63" s="1"/>
  <c r="BS64"/>
  <c r="BT64"/>
  <c r="BS66"/>
  <c r="BT66" s="1"/>
  <c r="BJ67"/>
  <c r="BS67"/>
  <c r="BT67" s="1"/>
  <c r="BS68"/>
  <c r="BT68" s="1"/>
  <c r="BS69"/>
  <c r="BT69" s="1"/>
  <c r="BS70"/>
  <c r="BT70" s="1"/>
  <c r="BS71"/>
  <c r="BT71" s="1"/>
  <c r="BS72"/>
  <c r="BT72" s="1"/>
  <c r="BS73"/>
  <c r="BT73" s="1"/>
  <c r="BS74"/>
  <c r="BT74" s="1"/>
  <c r="BS75"/>
  <c r="BT75" s="1"/>
  <c r="BS76"/>
  <c r="BT76" s="1"/>
  <c r="BS77"/>
  <c r="BT77" s="1"/>
  <c r="BS78"/>
  <c r="BT78" s="1"/>
  <c r="BS79"/>
  <c r="BT79" s="1"/>
  <c r="BS80"/>
  <c r="BT80" s="1"/>
  <c r="BS81"/>
  <c r="BT81" s="1"/>
  <c r="BS82"/>
  <c r="BT82" s="1"/>
  <c r="BS83"/>
  <c r="BT83" s="1"/>
  <c r="BS84"/>
  <c r="BT84" s="1"/>
  <c r="BS85"/>
  <c r="BT85" s="1"/>
  <c r="BS86"/>
  <c r="BT86" s="1"/>
  <c r="BS87"/>
  <c r="BT87" s="1"/>
  <c r="BS88"/>
  <c r="BT88" s="1"/>
  <c r="BS89"/>
  <c r="BT89" s="1"/>
  <c r="BS90"/>
  <c r="BT90" s="1"/>
  <c r="BS91"/>
  <c r="BT91" s="1"/>
  <c r="BS92"/>
  <c r="BT92" s="1"/>
  <c r="BS93"/>
  <c r="BT93" s="1"/>
  <c r="BS94"/>
  <c r="BT94" s="1"/>
  <c r="BS95"/>
  <c r="BT95" s="1"/>
  <c r="BS96"/>
  <c r="BT96" s="1"/>
  <c r="BS97"/>
  <c r="BT97" s="1"/>
  <c r="BS98"/>
  <c r="BT98" s="1"/>
  <c r="BS99"/>
  <c r="BT99" s="1"/>
  <c r="BS100"/>
  <c r="BT100" s="1"/>
  <c r="BS101"/>
  <c r="BT101" s="1"/>
  <c r="BS102"/>
  <c r="BT102" s="1"/>
  <c r="BS103"/>
  <c r="BT103" s="1"/>
  <c r="BS104"/>
  <c r="BT104" s="1"/>
  <c r="BS105"/>
  <c r="BT105" s="1"/>
  <c r="BS106"/>
  <c r="BT106" s="1"/>
  <c r="BS107"/>
  <c r="BT107" s="1"/>
  <c r="BS108"/>
  <c r="BT108" s="1"/>
  <c r="BS109"/>
  <c r="BT109" s="1"/>
  <c r="BS110"/>
  <c r="BT110" s="1"/>
  <c r="BS111"/>
  <c r="BT111" s="1"/>
  <c r="BS112"/>
  <c r="BT112" s="1"/>
  <c r="BS113"/>
  <c r="BT113" s="1"/>
  <c r="BS114"/>
  <c r="BT114" s="1"/>
  <c r="BS115"/>
  <c r="BT115" s="1"/>
  <c r="BS116"/>
  <c r="BT116" s="1"/>
  <c r="BS117"/>
  <c r="BT117" s="1"/>
  <c r="BS118"/>
  <c r="BT118" s="1"/>
  <c r="BS119"/>
  <c r="BT119" s="1"/>
  <c r="BS120"/>
  <c r="BT120" s="1"/>
  <c r="BS122"/>
  <c r="BT122" s="1"/>
  <c r="BS123"/>
  <c r="BT123" s="1"/>
  <c r="BS3"/>
  <c r="BT3" s="1"/>
  <c r="BO4"/>
  <c r="BP4" s="1"/>
  <c r="BO5"/>
  <c r="BP5" s="1"/>
  <c r="BO6"/>
  <c r="BP6" s="1"/>
  <c r="BO7"/>
  <c r="BP7" s="1"/>
  <c r="BO8"/>
  <c r="BP8" s="1"/>
  <c r="BO9"/>
  <c r="BP9" s="1"/>
  <c r="BO10"/>
  <c r="BP10" s="1"/>
  <c r="BO11"/>
  <c r="BP11" s="1"/>
  <c r="BO13"/>
  <c r="BP13" s="1"/>
  <c r="BO14"/>
  <c r="BP14" s="1"/>
  <c r="BO15"/>
  <c r="BP15" s="1"/>
  <c r="BO16"/>
  <c r="BP16" s="1"/>
  <c r="BO17"/>
  <c r="BP17" s="1"/>
  <c r="BO18"/>
  <c r="BP18" s="1"/>
  <c r="BO20"/>
  <c r="BP20" s="1"/>
  <c r="BO21"/>
  <c r="BP21" s="1"/>
  <c r="BO22"/>
  <c r="BP22" s="1"/>
  <c r="BO23"/>
  <c r="BP23" s="1"/>
  <c r="BO24"/>
  <c r="BP24" s="1"/>
  <c r="BO25"/>
  <c r="BP25" s="1"/>
  <c r="BO26"/>
  <c r="BP26" s="1"/>
  <c r="BO27"/>
  <c r="BP27" s="1"/>
  <c r="BO28"/>
  <c r="BP28" s="1"/>
  <c r="BO29"/>
  <c r="BP29" s="1"/>
  <c r="BO30"/>
  <c r="BP30" s="1"/>
  <c r="BP31"/>
  <c r="BO32"/>
  <c r="BP32" s="1"/>
  <c r="BO33"/>
  <c r="BP33"/>
  <c r="BO34"/>
  <c r="BP34" s="1"/>
  <c r="BO35"/>
  <c r="BP35"/>
  <c r="BO36"/>
  <c r="BP36" s="1"/>
  <c r="BO37"/>
  <c r="BP37"/>
  <c r="BO38"/>
  <c r="BP38" s="1"/>
  <c r="BO39"/>
  <c r="BP39"/>
  <c r="BO40"/>
  <c r="BP40" s="1"/>
  <c r="BO41"/>
  <c r="BP41"/>
  <c r="BO42"/>
  <c r="BP42" s="1"/>
  <c r="BO43"/>
  <c r="BP43"/>
  <c r="BO44"/>
  <c r="BP44" s="1"/>
  <c r="BO45"/>
  <c r="BP45"/>
  <c r="BO46"/>
  <c r="BP46" s="1"/>
  <c r="BO47"/>
  <c r="BP47"/>
  <c r="BJ48"/>
  <c r="BO48" s="1"/>
  <c r="BP48" s="1"/>
  <c r="BJ49"/>
  <c r="BK49" s="1"/>
  <c r="BJ50"/>
  <c r="BO50"/>
  <c r="BP50" s="1"/>
  <c r="BJ51"/>
  <c r="BO51" s="1"/>
  <c r="BP51" s="1"/>
  <c r="BO52"/>
  <c r="BP52" s="1"/>
  <c r="BO53"/>
  <c r="BP53"/>
  <c r="BO54"/>
  <c r="BP54" s="1"/>
  <c r="BO55"/>
  <c r="BP55"/>
  <c r="BO56"/>
  <c r="BP56" s="1"/>
  <c r="BG57"/>
  <c r="BJ57"/>
  <c r="BK57" s="1"/>
  <c r="BP57"/>
  <c r="BO58"/>
  <c r="BP58" s="1"/>
  <c r="BO59"/>
  <c r="BP59" s="1"/>
  <c r="BO60"/>
  <c r="BP60" s="1"/>
  <c r="BG61"/>
  <c r="BJ61" s="1"/>
  <c r="BO62"/>
  <c r="BP62" s="1"/>
  <c r="BG63"/>
  <c r="BJ63" s="1"/>
  <c r="BO64"/>
  <c r="BP64" s="1"/>
  <c r="BO65"/>
  <c r="BP65" s="1"/>
  <c r="BJ66"/>
  <c r="BO66" s="1"/>
  <c r="BP66" s="1"/>
  <c r="BO67"/>
  <c r="BP67" s="1"/>
  <c r="BO68"/>
  <c r="BP68"/>
  <c r="BG70"/>
  <c r="BJ70" s="1"/>
  <c r="BJ71"/>
  <c r="BK71" s="1"/>
  <c r="BO72"/>
  <c r="BP72" s="1"/>
  <c r="BJ73"/>
  <c r="BK73" s="1"/>
  <c r="BO74"/>
  <c r="BP74"/>
  <c r="BJ75"/>
  <c r="BK75" s="1"/>
  <c r="BO76"/>
  <c r="BP76" s="1"/>
  <c r="BG77"/>
  <c r="BJ77" s="1"/>
  <c r="BO78"/>
  <c r="BP78" s="1"/>
  <c r="BJ79"/>
  <c r="BK79" s="1"/>
  <c r="BO80"/>
  <c r="BP80"/>
  <c r="BO81"/>
  <c r="BP81" s="1"/>
  <c r="BG82"/>
  <c r="BJ82"/>
  <c r="BO82" s="1"/>
  <c r="BP82" s="1"/>
  <c r="BG83"/>
  <c r="BJ83"/>
  <c r="BO83" s="1"/>
  <c r="BP83" s="1"/>
  <c r="BG84"/>
  <c r="BJ84"/>
  <c r="BK84" s="1"/>
  <c r="BJ85"/>
  <c r="BG86"/>
  <c r="BJ86" s="1"/>
  <c r="BO87"/>
  <c r="BP87" s="1"/>
  <c r="BG88"/>
  <c r="BJ88" s="1"/>
  <c r="BG89"/>
  <c r="BJ89" s="1"/>
  <c r="BG90"/>
  <c r="BJ90" s="1"/>
  <c r="BG91"/>
  <c r="BJ91" s="1"/>
  <c r="BG92"/>
  <c r="BJ92" s="1"/>
  <c r="BO93"/>
  <c r="BP93" s="1"/>
  <c r="BG94"/>
  <c r="BJ94" s="1"/>
  <c r="BG95"/>
  <c r="BJ95" s="1"/>
  <c r="BG96"/>
  <c r="BJ96" s="1"/>
  <c r="BG97"/>
  <c r="BJ97" s="1"/>
  <c r="BG98"/>
  <c r="BJ98" s="1"/>
  <c r="BG99"/>
  <c r="BJ99" s="1"/>
  <c r="BG100"/>
  <c r="BJ100" s="1"/>
  <c r="BO101"/>
  <c r="BP101" s="1"/>
  <c r="BO102"/>
  <c r="BP102" s="1"/>
  <c r="BO103"/>
  <c r="BP103" s="1"/>
  <c r="BO104"/>
  <c r="BP104" s="1"/>
  <c r="BG105"/>
  <c r="BJ105" s="1"/>
  <c r="BO106"/>
  <c r="BP106" s="1"/>
  <c r="BG107"/>
  <c r="BJ107" s="1"/>
  <c r="BG109"/>
  <c r="BJ109"/>
  <c r="BO109" s="1"/>
  <c r="BP109" s="1"/>
  <c r="BP110"/>
  <c r="BG111"/>
  <c r="BJ111" s="1"/>
  <c r="BO112"/>
  <c r="BP112" s="1"/>
  <c r="BJ113"/>
  <c r="BO113" s="1"/>
  <c r="BP113" s="1"/>
  <c r="BG114"/>
  <c r="BJ114" s="1"/>
  <c r="BG115"/>
  <c r="BJ115" s="1"/>
  <c r="BG116"/>
  <c r="BJ116" s="1"/>
  <c r="BJ117"/>
  <c r="BO117" s="1"/>
  <c r="BP117" s="1"/>
  <c r="BG118"/>
  <c r="BJ118" s="1"/>
  <c r="BG119"/>
  <c r="BJ119" s="1"/>
  <c r="BJ120"/>
  <c r="BO120" s="1"/>
  <c r="BP120" s="1"/>
  <c r="BG121"/>
  <c r="BJ121"/>
  <c r="BK121" s="1"/>
  <c r="BG122"/>
  <c r="BJ122"/>
  <c r="BK122" s="1"/>
  <c r="BO123"/>
  <c r="BP123"/>
  <c r="BO3"/>
  <c r="BP3" s="1"/>
  <c r="BJ4"/>
  <c r="BK4"/>
  <c r="BJ5"/>
  <c r="BK5" s="1"/>
  <c r="BJ6"/>
  <c r="BK6"/>
  <c r="BJ7"/>
  <c r="BK7" s="1"/>
  <c r="BK8"/>
  <c r="BJ9"/>
  <c r="BK9" s="1"/>
  <c r="BJ10"/>
  <c r="BK10" s="1"/>
  <c r="BJ11"/>
  <c r="BK11" s="1"/>
  <c r="BJ12"/>
  <c r="BK12" s="1"/>
  <c r="BJ13"/>
  <c r="BK13" s="1"/>
  <c r="BJ14"/>
  <c r="BK14" s="1"/>
  <c r="BJ15"/>
  <c r="BK15" s="1"/>
  <c r="BJ16"/>
  <c r="BK16" s="1"/>
  <c r="BJ17"/>
  <c r="BK17" s="1"/>
  <c r="BJ18"/>
  <c r="BK18" s="1"/>
  <c r="BJ19"/>
  <c r="BK19" s="1"/>
  <c r="BJ20"/>
  <c r="BK20" s="1"/>
  <c r="BJ21"/>
  <c r="BK21" s="1"/>
  <c r="BJ22"/>
  <c r="BK22" s="1"/>
  <c r="BJ23"/>
  <c r="BK23" s="1"/>
  <c r="BJ24"/>
  <c r="BK24" s="1"/>
  <c r="BJ25"/>
  <c r="BK25" s="1"/>
  <c r="BJ26"/>
  <c r="BK26" s="1"/>
  <c r="BJ27"/>
  <c r="BK27" s="1"/>
  <c r="BJ28"/>
  <c r="BK28" s="1"/>
  <c r="BJ29"/>
  <c r="BK29" s="1"/>
  <c r="BJ30"/>
  <c r="BK30" s="1"/>
  <c r="BJ31"/>
  <c r="BK31" s="1"/>
  <c r="BJ32"/>
  <c r="BK32" s="1"/>
  <c r="BJ33"/>
  <c r="BK33" s="1"/>
  <c r="BJ34"/>
  <c r="BK34" s="1"/>
  <c r="BJ35"/>
  <c r="BK35" s="1"/>
  <c r="BJ36"/>
  <c r="BK36" s="1"/>
  <c r="BJ37"/>
  <c r="BK37" s="1"/>
  <c r="BJ38"/>
  <c r="BK38" s="1"/>
  <c r="BJ39"/>
  <c r="BK39" s="1"/>
  <c r="BJ40"/>
  <c r="BK40" s="1"/>
  <c r="BJ41"/>
  <c r="BK41" s="1"/>
  <c r="BJ42"/>
  <c r="BK42" s="1"/>
  <c r="BJ43"/>
  <c r="BK43" s="1"/>
  <c r="BJ44"/>
  <c r="BK44" s="1"/>
  <c r="BK45"/>
  <c r="BJ46"/>
  <c r="BK46" s="1"/>
  <c r="BJ47"/>
  <c r="BK47"/>
  <c r="BK48"/>
  <c r="BK50"/>
  <c r="BK51"/>
  <c r="BJ52"/>
  <c r="BK52" s="1"/>
  <c r="BJ53"/>
  <c r="BK53"/>
  <c r="BK54"/>
  <c r="BJ55"/>
  <c r="BK55" s="1"/>
  <c r="BJ56"/>
  <c r="BK56" s="1"/>
  <c r="BJ58"/>
  <c r="BK58"/>
  <c r="BJ59"/>
  <c r="BK59" s="1"/>
  <c r="BJ60"/>
  <c r="BK60"/>
  <c r="BK62"/>
  <c r="BJ64"/>
  <c r="BK64" s="1"/>
  <c r="BJ65"/>
  <c r="BK65" s="1"/>
  <c r="BK66"/>
  <c r="BK67"/>
  <c r="BJ68"/>
  <c r="BK68" s="1"/>
  <c r="BJ69"/>
  <c r="BK69" s="1"/>
  <c r="BG72"/>
  <c r="BJ72" s="1"/>
  <c r="BK72" s="1"/>
  <c r="BG74"/>
  <c r="BJ74" s="1"/>
  <c r="BK74" s="1"/>
  <c r="BG76"/>
  <c r="BJ76" s="1"/>
  <c r="BK76" s="1"/>
  <c r="BJ78"/>
  <c r="BK78" s="1"/>
  <c r="BG80"/>
  <c r="BJ80"/>
  <c r="BK80" s="1"/>
  <c r="BJ81"/>
  <c r="BK81" s="1"/>
  <c r="BK82"/>
  <c r="BK85"/>
  <c r="BG87"/>
  <c r="BJ87" s="1"/>
  <c r="BK87" s="1"/>
  <c r="BG93"/>
  <c r="BJ93" s="1"/>
  <c r="BK93" s="1"/>
  <c r="BG101"/>
  <c r="BJ101"/>
  <c r="BK101" s="1"/>
  <c r="BG102"/>
  <c r="BJ102" s="1"/>
  <c r="BK102" s="1"/>
  <c r="BG103"/>
  <c r="BJ103" s="1"/>
  <c r="BK103" s="1"/>
  <c r="BG104"/>
  <c r="BJ104" s="1"/>
  <c r="BK104" s="1"/>
  <c r="BJ106"/>
  <c r="BK106" s="1"/>
  <c r="BK108"/>
  <c r="BK109"/>
  <c r="BK110"/>
  <c r="BG112"/>
  <c r="BJ112"/>
  <c r="BK112" s="1"/>
  <c r="BK113"/>
  <c r="BJ123"/>
  <c r="BK123" s="1"/>
  <c r="BJ3"/>
  <c r="BK3" s="1"/>
  <c r="BN6"/>
  <c r="CH31"/>
  <c r="CH3"/>
  <c r="BN67"/>
  <c r="BN45"/>
  <c r="BN64"/>
  <c r="BN25"/>
  <c r="BN43"/>
  <c r="BN58"/>
  <c r="BN24"/>
  <c r="BN74"/>
  <c r="BN54"/>
  <c r="BN52"/>
  <c r="BN29"/>
  <c r="BN46"/>
  <c r="BN53"/>
  <c r="BN65"/>
  <c r="BN30"/>
  <c r="BN81"/>
  <c r="BN106"/>
  <c r="BN76"/>
  <c r="BN103"/>
  <c r="BN62"/>
  <c r="BN93"/>
  <c r="BN69"/>
  <c r="BN123"/>
  <c r="BN55"/>
  <c r="BN87"/>
  <c r="BN68"/>
  <c r="BN112"/>
  <c r="BN56"/>
  <c r="BN59"/>
  <c r="BN60"/>
  <c r="BN101"/>
  <c r="BN102"/>
  <c r="CP31"/>
  <c r="CP42"/>
  <c r="CP38"/>
  <c r="CP46"/>
  <c r="CP15"/>
  <c r="CP37"/>
  <c r="CP11"/>
  <c r="CP54"/>
  <c r="CP25"/>
  <c r="CP9"/>
  <c r="CP52"/>
  <c r="CP26"/>
  <c r="CP108"/>
  <c r="CP96"/>
  <c r="CP98"/>
  <c r="CP103"/>
  <c r="CP100"/>
  <c r="CP24"/>
  <c r="CP85"/>
  <c r="CP83"/>
  <c r="CP80"/>
  <c r="CP58"/>
  <c r="CP86"/>
  <c r="CP79"/>
  <c r="CP82"/>
  <c r="CP72"/>
  <c r="CP62"/>
  <c r="CP50"/>
  <c r="CP59"/>
  <c r="CP3"/>
  <c r="AK18"/>
  <c r="AK25"/>
  <c r="AK60"/>
  <c r="AK45"/>
  <c r="AK69"/>
  <c r="AK41"/>
  <c r="AK61"/>
  <c r="AK88"/>
  <c r="AK92"/>
  <c r="AK54"/>
  <c r="AK80"/>
  <c r="AK31"/>
  <c r="AK112"/>
  <c r="AK100"/>
  <c r="AK84"/>
  <c r="AK114"/>
  <c r="AK89"/>
  <c r="AK79"/>
  <c r="AK63"/>
  <c r="AK35"/>
  <c r="AK91"/>
  <c r="AK118"/>
  <c r="AK71"/>
  <c r="AK36"/>
  <c r="AK6"/>
  <c r="AK82"/>
  <c r="AK122"/>
  <c r="AK51"/>
  <c r="AK37"/>
  <c r="AK30"/>
  <c r="AK20"/>
  <c r="AK70"/>
  <c r="AK104"/>
  <c r="AK24"/>
  <c r="AK44"/>
  <c r="AK34"/>
  <c r="AK99"/>
  <c r="AK62"/>
  <c r="AK59"/>
  <c r="AK107"/>
  <c r="AK96"/>
  <c r="AK64"/>
  <c r="AK72"/>
  <c r="AK103"/>
  <c r="AK33"/>
  <c r="AK49"/>
  <c r="AK32"/>
  <c r="AK85"/>
  <c r="AK13"/>
  <c r="AK15"/>
  <c r="AK42"/>
  <c r="AK29"/>
  <c r="AK26"/>
  <c r="AK39"/>
  <c r="AK83"/>
  <c r="AK102"/>
  <c r="AK90"/>
  <c r="AK115"/>
  <c r="AK56"/>
  <c r="AK8"/>
  <c r="AK109"/>
  <c r="AK17"/>
  <c r="AK47"/>
  <c r="AK111"/>
  <c r="AK93"/>
  <c r="AK73"/>
  <c r="AK28"/>
  <c r="AK40"/>
  <c r="AK77"/>
  <c r="AK66"/>
  <c r="AK105"/>
  <c r="AK101"/>
  <c r="AK67"/>
  <c r="AK58"/>
  <c r="AK57"/>
  <c r="AK9"/>
  <c r="AK98"/>
  <c r="AK55"/>
  <c r="AK50"/>
  <c r="AK48"/>
  <c r="AK113"/>
  <c r="AK81"/>
  <c r="AK97"/>
  <c r="AK117"/>
  <c r="AK78"/>
  <c r="AK76"/>
  <c r="AK74"/>
  <c r="AK94"/>
  <c r="AK106"/>
  <c r="AK87"/>
  <c r="AK14"/>
  <c r="AK7"/>
  <c r="AK120"/>
  <c r="AK95"/>
  <c r="AK16"/>
  <c r="AK123"/>
  <c r="AK119"/>
  <c r="AK38"/>
  <c r="AK108"/>
  <c r="AK21"/>
  <c r="AK65"/>
  <c r="AK86"/>
  <c r="AK5"/>
  <c r="AK121"/>
  <c r="AK75"/>
  <c r="AK4"/>
  <c r="AK110"/>
  <c r="AK19"/>
  <c r="AK23"/>
  <c r="AK46"/>
  <c r="AK11"/>
  <c r="AK52"/>
  <c r="AK68"/>
  <c r="AK10"/>
  <c r="AK53"/>
  <c r="AK27"/>
  <c r="AK43"/>
  <c r="AK12"/>
  <c r="AK22"/>
  <c r="AK116"/>
  <c r="AL15"/>
  <c r="AL54"/>
  <c r="AL25"/>
  <c r="AL34"/>
  <c r="AL42"/>
  <c r="AL29"/>
  <c r="AL26"/>
  <c r="AL39"/>
  <c r="AL45"/>
  <c r="AL99"/>
  <c r="AL69"/>
  <c r="AL83"/>
  <c r="AL80"/>
  <c r="AL62"/>
  <c r="AL116"/>
  <c r="AL92"/>
  <c r="AL102"/>
  <c r="AL90"/>
  <c r="AL59"/>
  <c r="AL115"/>
  <c r="AL60"/>
  <c r="AL56"/>
  <c r="AL8"/>
  <c r="AL31"/>
  <c r="AL41"/>
  <c r="AL109"/>
  <c r="AL17"/>
  <c r="AL47"/>
  <c r="AL111"/>
  <c r="AL107"/>
  <c r="AL93"/>
  <c r="AL73"/>
  <c r="AL28"/>
  <c r="AL40"/>
  <c r="AL112"/>
  <c r="AL100"/>
  <c r="AL96"/>
  <c r="AL77"/>
  <c r="AL64"/>
  <c r="AL84"/>
  <c r="AL66"/>
  <c r="AL105"/>
  <c r="AL101"/>
  <c r="AL18"/>
  <c r="AL67"/>
  <c r="AL58"/>
  <c r="AL57"/>
  <c r="AL9"/>
  <c r="AL114"/>
  <c r="AL98"/>
  <c r="AL55"/>
  <c r="AL50"/>
  <c r="AL89"/>
  <c r="AL48"/>
  <c r="AL113"/>
  <c r="AL79"/>
  <c r="AL81"/>
  <c r="AL97"/>
  <c r="AL117"/>
  <c r="AL78"/>
  <c r="AL63"/>
  <c r="AL76"/>
  <c r="AL74"/>
  <c r="AL94"/>
  <c r="AL106"/>
  <c r="AL87"/>
  <c r="AL35"/>
  <c r="AL14"/>
  <c r="AL91"/>
  <c r="AL118"/>
  <c r="AL7"/>
  <c r="AL120"/>
  <c r="AL95"/>
  <c r="AL61"/>
  <c r="AL88"/>
  <c r="AL71"/>
  <c r="AL36"/>
  <c r="AL6"/>
  <c r="AL72"/>
  <c r="AL16"/>
  <c r="AL123"/>
  <c r="AL82"/>
  <c r="AL119"/>
  <c r="AL38"/>
  <c r="AL122"/>
  <c r="AL103"/>
  <c r="AL108"/>
  <c r="AL21"/>
  <c r="AL51"/>
  <c r="AL65"/>
  <c r="AL86"/>
  <c r="AL5"/>
  <c r="AL33"/>
  <c r="AL3"/>
  <c r="AL121"/>
  <c r="AL75"/>
  <c r="AL49"/>
  <c r="AL37"/>
  <c r="AL30"/>
  <c r="AL4"/>
  <c r="AL110"/>
  <c r="AL19"/>
  <c r="AL20"/>
  <c r="AL23"/>
  <c r="AL70"/>
  <c r="AL46"/>
  <c r="AL11"/>
  <c r="AL32"/>
  <c r="AL104"/>
  <c r="AL52"/>
  <c r="AL24"/>
  <c r="AL68"/>
  <c r="AL10"/>
  <c r="AL85"/>
  <c r="AL53"/>
  <c r="AL27"/>
  <c r="AL43"/>
  <c r="AL44"/>
  <c r="AL12"/>
  <c r="AL22"/>
  <c r="AL13"/>
  <c r="AD3"/>
  <c r="AD14"/>
  <c r="AD4"/>
  <c r="AD23"/>
  <c r="AD9"/>
  <c r="AD8"/>
  <c r="AD13"/>
  <c r="AD21"/>
  <c r="AD18"/>
  <c r="AD17"/>
  <c r="AD19"/>
  <c r="AD10"/>
  <c r="AD20"/>
  <c r="AD7"/>
  <c r="AD12"/>
  <c r="AD15"/>
  <c r="AD6"/>
  <c r="AD16"/>
  <c r="AD22"/>
  <c r="AD11"/>
  <c r="AD36"/>
  <c r="AD40"/>
  <c r="AD25"/>
  <c r="AD34"/>
  <c r="AD42"/>
  <c r="AD30"/>
  <c r="AD44"/>
  <c r="AD41"/>
  <c r="AD38"/>
  <c r="AD43"/>
  <c r="AD32"/>
  <c r="AD46"/>
  <c r="AD33"/>
  <c r="AD27"/>
  <c r="AD29"/>
  <c r="AD24"/>
  <c r="AD47"/>
  <c r="AD31"/>
  <c r="AD26"/>
  <c r="AD28"/>
  <c r="AD37"/>
  <c r="AD39"/>
  <c r="AD45"/>
  <c r="AD35"/>
  <c r="AD54"/>
  <c r="AD50"/>
  <c r="AD51"/>
  <c r="AD53"/>
  <c r="AD48"/>
  <c r="AD49"/>
  <c r="AD52"/>
  <c r="AD55"/>
  <c r="AD71"/>
  <c r="AD121"/>
  <c r="AD111"/>
  <c r="AD75"/>
  <c r="AD109"/>
  <c r="AD82"/>
  <c r="AD118"/>
  <c r="AD91"/>
  <c r="AD97"/>
  <c r="AD81"/>
  <c r="AD88"/>
  <c r="AD108"/>
  <c r="AD110"/>
  <c r="AD84"/>
  <c r="AD73"/>
  <c r="AD66"/>
  <c r="AD99"/>
  <c r="AD86"/>
  <c r="AD94"/>
  <c r="AD74"/>
  <c r="AD96"/>
  <c r="AD61"/>
  <c r="AD68"/>
  <c r="AD69"/>
  <c r="AD93"/>
  <c r="AD87"/>
  <c r="AD58"/>
  <c r="AD83"/>
  <c r="AD95"/>
  <c r="AD78"/>
  <c r="AD80"/>
  <c r="AD117"/>
  <c r="AD70"/>
  <c r="AD123"/>
  <c r="AD100"/>
  <c r="AD62"/>
  <c r="AD116"/>
  <c r="AD120"/>
  <c r="AD63"/>
  <c r="AD122"/>
  <c r="AD114"/>
  <c r="AD113"/>
  <c r="AD98"/>
  <c r="AD65"/>
  <c r="AD106"/>
  <c r="AD92"/>
  <c r="AD72"/>
  <c r="AD57"/>
  <c r="AD85"/>
  <c r="AD101"/>
  <c r="AD79"/>
  <c r="AD103"/>
  <c r="AD77"/>
  <c r="AD107"/>
  <c r="AD105"/>
  <c r="AD102"/>
  <c r="AD119"/>
  <c r="AD90"/>
  <c r="AD112"/>
  <c r="AD76"/>
  <c r="AD104"/>
  <c r="AD89"/>
  <c r="AD64"/>
  <c r="AD59"/>
  <c r="AD115"/>
  <c r="AD60"/>
  <c r="AD67"/>
  <c r="AD56"/>
  <c r="AD5"/>
  <c r="AU55"/>
  <c r="AR55"/>
  <c r="J55"/>
  <c r="CH54"/>
  <c r="AU54"/>
  <c r="AR54"/>
  <c r="J54"/>
  <c r="CH53"/>
  <c r="AU53"/>
  <c r="AR53"/>
  <c r="J53"/>
  <c r="AU52"/>
  <c r="AR52"/>
  <c r="J52"/>
  <c r="CH51"/>
  <c r="AU51"/>
  <c r="AR51"/>
  <c r="J51"/>
  <c r="CH50"/>
  <c r="AU50"/>
  <c r="AR50"/>
  <c r="J50"/>
  <c r="CH49"/>
  <c r="AU49"/>
  <c r="AR49"/>
  <c r="J49"/>
  <c r="AU48"/>
  <c r="AR48"/>
  <c r="J48"/>
  <c r="AU23"/>
  <c r="AR23"/>
  <c r="J23"/>
  <c r="AU22"/>
  <c r="AR22"/>
  <c r="J22"/>
  <c r="CH21"/>
  <c r="AU21"/>
  <c r="AR21"/>
  <c r="J21"/>
  <c r="AU20"/>
  <c r="AR20"/>
  <c r="J20"/>
  <c r="AU19"/>
  <c r="AR19"/>
  <c r="J19"/>
  <c r="AU18"/>
  <c r="AR18"/>
  <c r="J18"/>
  <c r="AU17"/>
  <c r="AR17"/>
  <c r="J17"/>
  <c r="AU16"/>
  <c r="AR16"/>
  <c r="J16"/>
  <c r="CH15"/>
  <c r="AU15"/>
  <c r="AR15"/>
  <c r="J15"/>
  <c r="AU14"/>
  <c r="AR14"/>
  <c r="J14"/>
  <c r="AU13"/>
  <c r="AR13"/>
  <c r="J13"/>
  <c r="AU12"/>
  <c r="AR12"/>
  <c r="J12"/>
  <c r="AU11"/>
  <c r="AR11"/>
  <c r="J11"/>
  <c r="AU10"/>
  <c r="AR10"/>
  <c r="J10"/>
  <c r="AU9"/>
  <c r="AR9"/>
  <c r="J9"/>
  <c r="AU8"/>
  <c r="AR8"/>
  <c r="J8"/>
  <c r="AU7"/>
  <c r="AR7"/>
  <c r="J7"/>
  <c r="AU6"/>
  <c r="AR6"/>
  <c r="J6"/>
  <c r="CH5"/>
  <c r="AU5"/>
  <c r="AR5"/>
  <c r="J5"/>
  <c r="AU4"/>
  <c r="AR4"/>
  <c r="J4"/>
  <c r="AU3"/>
  <c r="AR3"/>
  <c r="J3"/>
  <c r="J24"/>
  <c r="AR24"/>
  <c r="AU24"/>
  <c r="J25"/>
  <c r="AR25"/>
  <c r="AU25"/>
  <c r="J26"/>
  <c r="AR26"/>
  <c r="AU26"/>
  <c r="CH26"/>
  <c r="J27"/>
  <c r="AR27"/>
  <c r="AU27"/>
  <c r="J28"/>
  <c r="AR28"/>
  <c r="AU28"/>
  <c r="J29"/>
  <c r="AR29"/>
  <c r="AU29"/>
  <c r="J30"/>
  <c r="AR30"/>
  <c r="AU30"/>
  <c r="J31"/>
  <c r="AR31"/>
  <c r="AU31"/>
  <c r="J32"/>
  <c r="AR32"/>
  <c r="AU32"/>
  <c r="J34"/>
  <c r="AR34"/>
  <c r="AU34"/>
  <c r="J35"/>
  <c r="AR35"/>
  <c r="AU35"/>
  <c r="J36"/>
  <c r="AR36"/>
  <c r="AU36"/>
  <c r="J37"/>
  <c r="AR37"/>
  <c r="AU37"/>
  <c r="J38"/>
  <c r="AR38"/>
  <c r="AU38"/>
  <c r="CH38"/>
  <c r="J39"/>
  <c r="AR39"/>
  <c r="AU39"/>
  <c r="J40"/>
  <c r="AR40"/>
  <c r="AU40"/>
  <c r="J41"/>
  <c r="AR41"/>
  <c r="AU41"/>
  <c r="J42"/>
  <c r="AR42"/>
  <c r="AU42"/>
  <c r="CH42"/>
  <c r="J44"/>
  <c r="AR44"/>
  <c r="AU44"/>
  <c r="J45"/>
  <c r="AR45"/>
  <c r="AU45"/>
  <c r="J46"/>
  <c r="AR46"/>
  <c r="AU46"/>
  <c r="J47"/>
  <c r="AR47"/>
  <c r="AU47"/>
  <c r="J56"/>
  <c r="AR56"/>
  <c r="AU56"/>
  <c r="J57"/>
  <c r="AR57"/>
  <c r="AU57"/>
  <c r="J58"/>
  <c r="AR58"/>
  <c r="AU58"/>
  <c r="J59"/>
  <c r="AR59"/>
  <c r="AU59"/>
  <c r="J60"/>
  <c r="AR60"/>
  <c r="AU60"/>
  <c r="J61"/>
  <c r="AR61"/>
  <c r="AU61"/>
  <c r="J62"/>
  <c r="AR62"/>
  <c r="AU62"/>
  <c r="CH62"/>
  <c r="J63"/>
  <c r="AR63"/>
  <c r="AU63"/>
  <c r="J64"/>
  <c r="AR64"/>
  <c r="AU64"/>
  <c r="J65"/>
  <c r="AR65"/>
  <c r="AU65"/>
  <c r="J66"/>
  <c r="AR66"/>
  <c r="AU66"/>
  <c r="J67"/>
  <c r="AR67"/>
  <c r="AU67"/>
  <c r="J68"/>
  <c r="AR68"/>
  <c r="AU68"/>
  <c r="J69"/>
  <c r="AR69"/>
  <c r="AU69"/>
  <c r="CH69"/>
  <c r="J70"/>
  <c r="AR70"/>
  <c r="AU70"/>
  <c r="J71"/>
  <c r="AR71"/>
  <c r="AU71"/>
  <c r="J72"/>
  <c r="AR72"/>
  <c r="AU72"/>
  <c r="CH72"/>
  <c r="J73"/>
  <c r="AR73"/>
  <c r="AU73"/>
  <c r="J74"/>
  <c r="AR74"/>
  <c r="AU74"/>
  <c r="J75"/>
  <c r="AR75"/>
  <c r="AU75"/>
  <c r="J76"/>
  <c r="AR76"/>
  <c r="AU76"/>
  <c r="J77"/>
  <c r="AR77"/>
  <c r="AU77"/>
  <c r="J78"/>
  <c r="AR78"/>
  <c r="AU78"/>
  <c r="J79"/>
  <c r="AR79"/>
  <c r="AU79"/>
  <c r="J80"/>
  <c r="AR80"/>
  <c r="AU80"/>
  <c r="CH80"/>
  <c r="J81"/>
  <c r="AR81"/>
  <c r="AU81"/>
  <c r="J82"/>
  <c r="AR82"/>
  <c r="AU82"/>
  <c r="J83"/>
  <c r="AR83"/>
  <c r="AU83"/>
  <c r="CH83"/>
  <c r="J84"/>
  <c r="AR84"/>
  <c r="AU84"/>
  <c r="CH84"/>
  <c r="J85"/>
  <c r="AR85"/>
  <c r="AU85"/>
  <c r="J86"/>
  <c r="AR86"/>
  <c r="AU86"/>
  <c r="CH86"/>
  <c r="J87"/>
  <c r="AR87"/>
  <c r="AU87"/>
  <c r="J88"/>
  <c r="AR88"/>
  <c r="AU88"/>
  <c r="J89"/>
  <c r="AR89"/>
  <c r="AU89"/>
  <c r="CH89"/>
  <c r="J90"/>
  <c r="AR90"/>
  <c r="AU90"/>
  <c r="J91"/>
  <c r="AR91"/>
  <c r="AU91"/>
  <c r="CH91"/>
  <c r="J92"/>
  <c r="AR92"/>
  <c r="AU92"/>
  <c r="CH92"/>
  <c r="J93"/>
  <c r="AR93"/>
  <c r="AU93"/>
  <c r="J94"/>
  <c r="AR94"/>
  <c r="AU94"/>
  <c r="J95"/>
  <c r="AR95"/>
  <c r="AU95"/>
  <c r="J96"/>
  <c r="AR96"/>
  <c r="AU96"/>
  <c r="CH96"/>
  <c r="J97"/>
  <c r="AR97"/>
  <c r="AU97"/>
  <c r="J98"/>
  <c r="AR98"/>
  <c r="AU98"/>
  <c r="CH98"/>
  <c r="J99"/>
  <c r="AR99"/>
  <c r="AU99"/>
  <c r="J100"/>
  <c r="AR100"/>
  <c r="AU100"/>
  <c r="CH100"/>
  <c r="J101"/>
  <c r="AR101"/>
  <c r="AU101"/>
  <c r="J102"/>
  <c r="AR102"/>
  <c r="AU102"/>
  <c r="J103"/>
  <c r="AR103"/>
  <c r="AU103"/>
  <c r="J104"/>
  <c r="AR104"/>
  <c r="AU104"/>
  <c r="J105"/>
  <c r="AR105"/>
  <c r="AU105"/>
  <c r="J106"/>
  <c r="AR106"/>
  <c r="AU106"/>
  <c r="J107"/>
  <c r="AR107"/>
  <c r="AU107"/>
  <c r="J108"/>
  <c r="AR108"/>
  <c r="AU108"/>
  <c r="J109"/>
  <c r="AR109"/>
  <c r="AU109"/>
  <c r="J110"/>
  <c r="AR110"/>
  <c r="AU110"/>
  <c r="J111"/>
  <c r="AR111"/>
  <c r="AU111"/>
  <c r="J112"/>
  <c r="AR112"/>
  <c r="AU112"/>
  <c r="J113"/>
  <c r="AR113"/>
  <c r="AU113"/>
  <c r="CH113"/>
  <c r="J114"/>
  <c r="AR114"/>
  <c r="AU114"/>
  <c r="J115"/>
  <c r="AR115"/>
  <c r="AU115"/>
  <c r="J116"/>
  <c r="AR116"/>
  <c r="AU116"/>
  <c r="J117"/>
  <c r="AR117"/>
  <c r="AU117"/>
  <c r="J118"/>
  <c r="AR118"/>
  <c r="AU118"/>
  <c r="J119"/>
  <c r="AR119"/>
  <c r="AU119"/>
  <c r="J120"/>
  <c r="AR120"/>
  <c r="AU120"/>
  <c r="CH120"/>
  <c r="J121"/>
  <c r="AR121"/>
  <c r="AU121"/>
  <c r="J122"/>
  <c r="AR122"/>
  <c r="AU122"/>
  <c r="J123"/>
  <c r="AR123"/>
  <c r="AU123"/>
  <c r="CH123"/>
  <c r="J33"/>
  <c r="AR33"/>
  <c r="AU33"/>
  <c r="J43"/>
  <c r="AR43"/>
  <c r="AU43"/>
  <c r="BO116" l="1"/>
  <c r="BP116" s="1"/>
  <c r="BK116"/>
  <c r="BO100"/>
  <c r="BP100" s="1"/>
  <c r="BK100"/>
  <c r="BO96"/>
  <c r="BP96" s="1"/>
  <c r="BK96"/>
  <c r="BO92"/>
  <c r="BP92" s="1"/>
  <c r="BK92"/>
  <c r="BO88"/>
  <c r="BP88" s="1"/>
  <c r="BK88"/>
  <c r="BO61"/>
  <c r="BP61" s="1"/>
  <c r="BK61"/>
  <c r="CC63"/>
  <c r="BZ63"/>
  <c r="CD63" s="1"/>
  <c r="BZ51"/>
  <c r="CD51" s="1"/>
  <c r="CC51"/>
  <c r="BZ48"/>
  <c r="CD48" s="1"/>
  <c r="CC48"/>
  <c r="BK105"/>
  <c r="BO105"/>
  <c r="BP105" s="1"/>
  <c r="BK97"/>
  <c r="BO97"/>
  <c r="BP97" s="1"/>
  <c r="BK89"/>
  <c r="BO89"/>
  <c r="BP89" s="1"/>
  <c r="BK77"/>
  <c r="BO77"/>
  <c r="BP77" s="1"/>
  <c r="BO70"/>
  <c r="BP70" s="1"/>
  <c r="BK70"/>
  <c r="BZ102"/>
  <c r="CD102" s="1"/>
  <c r="CC102"/>
  <c r="BZ70"/>
  <c r="CD70" s="1"/>
  <c r="CC70"/>
  <c r="CC53"/>
  <c r="BZ53"/>
  <c r="CD53" s="1"/>
  <c r="CC49"/>
  <c r="BZ49"/>
  <c r="CD49" s="1"/>
  <c r="BZ34"/>
  <c r="CD34" s="1"/>
  <c r="CC34"/>
  <c r="BZ16"/>
  <c r="CD16" s="1"/>
  <c r="CC16"/>
  <c r="BK118"/>
  <c r="BO118"/>
  <c r="BP118" s="1"/>
  <c r="BO114"/>
  <c r="BP114" s="1"/>
  <c r="BK114"/>
  <c r="BO98"/>
  <c r="BP98" s="1"/>
  <c r="BK98"/>
  <c r="BO94"/>
  <c r="BP94" s="1"/>
  <c r="BK94"/>
  <c r="BK90"/>
  <c r="BO90"/>
  <c r="BP90" s="1"/>
  <c r="BO86"/>
  <c r="BP86" s="1"/>
  <c r="BK86"/>
  <c r="BK63"/>
  <c r="BO63"/>
  <c r="BP63" s="1"/>
  <c r="BZ122"/>
  <c r="CD122" s="1"/>
  <c r="CC122"/>
  <c r="BZ117"/>
  <c r="CD117" s="1"/>
  <c r="CC117"/>
  <c r="BZ113"/>
  <c r="CD113" s="1"/>
  <c r="CC113"/>
  <c r="BZ111"/>
  <c r="CD111" s="1"/>
  <c r="CC111"/>
  <c r="BZ98"/>
  <c r="CD98" s="1"/>
  <c r="CC98"/>
  <c r="CC71"/>
  <c r="BZ71"/>
  <c r="CD71" s="1"/>
  <c r="BZ66"/>
  <c r="CD66" s="1"/>
  <c r="CC66"/>
  <c r="CC61"/>
  <c r="BZ61"/>
  <c r="CD61" s="1"/>
  <c r="CC35"/>
  <c r="BZ35"/>
  <c r="CD35" s="1"/>
  <c r="BO119"/>
  <c r="BP119" s="1"/>
  <c r="BK119"/>
  <c r="BO115"/>
  <c r="BP115" s="1"/>
  <c r="BK115"/>
  <c r="BO111"/>
  <c r="BP111" s="1"/>
  <c r="BK111"/>
  <c r="BK107"/>
  <c r="BO107"/>
  <c r="BP107" s="1"/>
  <c r="BO99"/>
  <c r="BP99" s="1"/>
  <c r="BK99"/>
  <c r="BO95"/>
  <c r="BP95" s="1"/>
  <c r="BK95"/>
  <c r="BK91"/>
  <c r="BO91"/>
  <c r="BP91" s="1"/>
  <c r="BZ108"/>
  <c r="CD108" s="1"/>
  <c r="CC108"/>
  <c r="BZ94"/>
  <c r="CD94" s="1"/>
  <c r="CC94"/>
  <c r="CC67"/>
  <c r="BZ67"/>
  <c r="CD67" s="1"/>
  <c r="BZ57"/>
  <c r="CD57" s="1"/>
  <c r="CC57"/>
  <c r="BK120"/>
  <c r="BK83"/>
  <c r="BO122"/>
  <c r="BP122" s="1"/>
  <c r="BO121"/>
  <c r="BP121" s="1"/>
  <c r="BO84"/>
  <c r="BP84" s="1"/>
  <c r="BO79"/>
  <c r="BP79" s="1"/>
  <c r="BO73"/>
  <c r="BP73" s="1"/>
  <c r="BO49"/>
  <c r="BP49" s="1"/>
  <c r="CB34"/>
  <c r="CB122"/>
  <c r="CB117"/>
  <c r="CB108"/>
  <c r="CB49"/>
  <c r="BZ3"/>
  <c r="CD3" s="1"/>
  <c r="CC123"/>
  <c r="CC116"/>
  <c r="CC115"/>
  <c r="CC110"/>
  <c r="BY105"/>
  <c r="CC104"/>
  <c r="CC103"/>
  <c r="BY100"/>
  <c r="CC99"/>
  <c r="BY96"/>
  <c r="CC95"/>
  <c r="BY92"/>
  <c r="CC91"/>
  <c r="CC90"/>
  <c r="BZ88"/>
  <c r="CD88" s="1"/>
  <c r="CC87"/>
  <c r="CC86"/>
  <c r="BZ84"/>
  <c r="CD84" s="1"/>
  <c r="CC83"/>
  <c r="CC82"/>
  <c r="BY60"/>
  <c r="CC46"/>
  <c r="BZ40"/>
  <c r="CD40" s="1"/>
  <c r="BZ36"/>
  <c r="CD36" s="1"/>
  <c r="CC25"/>
  <c r="CC21"/>
  <c r="BZ9"/>
  <c r="CD9" s="1"/>
  <c r="BK117"/>
  <c r="BO75"/>
  <c r="BP75" s="1"/>
  <c r="BZ76"/>
  <c r="CD76" s="1"/>
  <c r="CC75"/>
  <c r="BZ72"/>
  <c r="CD72" s="1"/>
  <c r="BZ42"/>
  <c r="CD42" s="1"/>
  <c r="BZ38"/>
  <c r="CD38" s="1"/>
  <c r="CC27"/>
  <c r="CC23"/>
  <c r="CC17"/>
  <c r="BZ7"/>
  <c r="CD7" s="1"/>
  <c r="BZ14"/>
  <c r="CD14" s="1"/>
  <c r="CC2"/>
  <c r="BZ60" l="1"/>
  <c r="CD60" s="1"/>
  <c r="CC60"/>
  <c r="BZ105"/>
  <c r="CD105" s="1"/>
  <c r="CC105"/>
  <c r="BZ96"/>
  <c r="CD96" s="1"/>
  <c r="CC96"/>
  <c r="BZ92"/>
  <c r="CD92" s="1"/>
  <c r="CC92"/>
  <c r="BZ100"/>
  <c r="CD100" s="1"/>
  <c r="CC100"/>
</calcChain>
</file>

<file path=xl/comments1.xml><?xml version="1.0" encoding="utf-8"?>
<comments xmlns="http://schemas.openxmlformats.org/spreadsheetml/2006/main">
  <authors>
    <author>mmilano</author>
    <author>Michael Milano</author>
    <author>mike milano</author>
  </authors>
  <commentList>
    <comment ref="AE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does not include resection of local recurrences or standard RT for bone or brain mets</t>
        </r>
      </text>
    </comment>
    <comment ref="AJ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not including previously resected metastases or metastases that reolved with chemotherapy</t>
        </r>
      </text>
    </comment>
    <comment ref="AE3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8/2000 RT to R pulmonary lung nodule 4 cc 52/4 Gy</t>
        </r>
      </text>
    </comment>
    <comment ref="AE6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RFA to lung lesions (failed)
</t>
        </r>
      </text>
    </comment>
    <comment ref="BF6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telephone follow-up
pt doing well, NED
315-655-8408</t>
        </r>
      </text>
    </comment>
    <comment ref="CL6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pneumonectomy 2003 by Sugarbaker B&amp;W hospital</t>
        </r>
      </text>
    </comment>
    <comment ref="BF9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new thoracic LNs?</t>
        </r>
      </text>
    </comment>
    <comment ref="CL9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L cerebellar met.</t>
        </r>
      </text>
    </comment>
    <comment ref="CM9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reXRT for new lesions treated- not initial lesions</t>
        </r>
      </text>
    </comment>
    <comment ref="CN9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SRS for brain met.
Resection of other brain met</t>
        </r>
      </text>
    </comment>
    <comment ref="CR9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5/2005 L5 + 3rd liver lesion
8/2005 SRS to CBL met not treated in 3/2005
4/2007 SRT to CBL met followed by resection
6/2008 supraclav LN</t>
        </r>
      </text>
    </comment>
    <comment ref="CM1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reXRT for new lesions treated- not initial lesions</t>
        </r>
      </text>
    </comment>
    <comment ref="CR1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9/7/04 lung, R hilum, AP window, liver (4)
5/16/05 iliac bone, liverX2 (3)
10/17/05 lung (1)
10/31/05 R femur (1)
6/26/06 liverX2, T2 (3)</t>
        </r>
      </text>
    </comment>
    <comment ref="BG1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cord compression 5/2008
died 8/17/08</t>
        </r>
      </text>
    </comment>
    <comment ref="AN17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untreated breast primary</t>
        </r>
      </text>
    </comment>
    <comment ref="BF17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? New humeral met </t>
        </r>
      </text>
    </comment>
    <comment ref="BF18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new bone mets</t>
        </r>
      </text>
    </comment>
    <comment ref="BF2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resection for impending Fx, but no viable tumor</t>
        </r>
      </text>
    </comment>
    <comment ref="AE24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1996 and 1998 lung resections
</t>
        </r>
      </text>
    </comment>
    <comment ref="BM24" authorId="1">
      <text>
        <r>
          <rPr>
            <b/>
            <sz val="8"/>
            <color indexed="81"/>
            <rFont val="Tahoma"/>
          </rPr>
          <t>Michael Milano:</t>
        </r>
        <r>
          <rPr>
            <sz val="8"/>
            <color indexed="81"/>
            <rFont val="Tahoma"/>
          </rPr>
          <t xml:space="preserve">
3/1/2005 skull failure reirradiated
T12 met also resected
</t>
        </r>
      </text>
    </comment>
    <comment ref="CL24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T12 resection 3/2005 (which was treated durng 3rd course of RT- 7/9/04)</t>
        </r>
      </text>
    </comment>
    <comment ref="CN24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supradiaphragm. tumor</t>
        </r>
      </text>
    </comment>
    <comment ref="AE25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resection of peritoneal and omental mets and R diaphragm tumor plaque in 11/2000</t>
        </r>
      </text>
    </comment>
    <comment ref="CN25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6/2/05 R hepatic lobe
4/4/05 new R liver lesion
1/9/07 local failure- aggregate mass</t>
        </r>
      </text>
    </comment>
    <comment ref="BF27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?lymphangiaocytic spread vs. inflammatory/infectious process. Admitted for SIADH</t>
        </r>
      </text>
    </comment>
    <comment ref="BM29" authorId="1">
      <text>
        <r>
          <rPr>
            <b/>
            <sz val="8"/>
            <color indexed="81"/>
            <rFont val="Tahoma"/>
          </rPr>
          <t>Michael Milano:</t>
        </r>
        <r>
          <rPr>
            <sz val="8"/>
            <color indexed="81"/>
            <rFont val="Tahoma"/>
          </rPr>
          <t xml:space="preserve">
11/2004 LF lesions resected</t>
        </r>
      </text>
    </comment>
    <comment ref="AE30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6/1996 lung resection</t>
        </r>
      </text>
    </comment>
    <comment ref="BF30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phone conversation- pt NED</t>
        </r>
      </text>
    </comment>
    <comment ref="BM30" authorId="1">
      <text>
        <r>
          <rPr>
            <b/>
            <sz val="8"/>
            <color indexed="81"/>
            <rFont val="Tahoma"/>
          </rPr>
          <t>Michael Milano:</t>
        </r>
        <r>
          <rPr>
            <sz val="8"/>
            <color indexed="81"/>
            <rFont val="Tahoma"/>
          </rPr>
          <t xml:space="preserve">
7/04/04 resected LF</t>
        </r>
      </text>
    </comment>
    <comment ref="AE3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7/2002 R lobectomy for 3 lesions</t>
        </r>
      </text>
    </comment>
    <comment ref="BS3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pleural effusion?</t>
        </r>
      </text>
    </comment>
    <comment ref="AF3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originally 13 lesions</t>
        </r>
      </text>
    </comment>
    <comment ref="BF3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?rendered oligometastatic with chemo?
underwent palliative SBRT -&gt; NED</t>
        </r>
      </text>
    </comment>
    <comment ref="BF33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per phone with Dawn Grandin- well, NED</t>
        </r>
      </text>
    </comment>
    <comment ref="BF34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multiple new liver metastases- obscuring possible LF?</t>
        </r>
      </text>
    </comment>
    <comment ref="AE35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4/1999 RFA
2001- XRT to hip
</t>
        </r>
      </text>
    </comment>
    <comment ref="BF35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phone conversatio with pt.  She is doing well. Has been on chemo for  recurrent liver and distant disease.</t>
        </r>
      </text>
    </comment>
    <comment ref="BM35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accoriding to pt. new lesion developed and old lesion stable</t>
        </r>
      </text>
    </comment>
    <comment ref="BR35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approx. based on phone conversation with pt.</t>
        </r>
      </text>
    </comment>
    <comment ref="AE36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1/2002 adrenelactomy</t>
        </r>
      </text>
    </comment>
    <comment ref="BF37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? New lung nodule ?</t>
        </r>
      </text>
    </comment>
    <comment ref="BR38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?new lesion.  Amenable to SBRT</t>
        </r>
      </text>
    </comment>
    <comment ref="BF39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phone call. 
treated lesion stable. possibly growing? 2 new lesions. stable. amenable to SBRT (therefore not scored as DF). Pt may consider a 2nd course of SBRT.</t>
        </r>
      </text>
    </comment>
    <comment ref="AE4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1/2003 liver resection</t>
        </r>
      </text>
    </comment>
    <comment ref="AF4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4 liver lesions and numerous lung lesions</t>
        </r>
      </text>
    </comment>
    <comment ref="AE44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3/2004 wedge x 2</t>
        </r>
      </text>
    </comment>
    <comment ref="BF45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phone conversation. Pt stable after embolizations in 9/2006 and 10/2006</t>
        </r>
      </text>
    </comment>
    <comment ref="G46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SSN 089364538</t>
        </r>
      </text>
    </comment>
    <comment ref="BF47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spoke to daughter.  Patient has had metastatic disease since Fall. Starting to deteriorate clinically</t>
        </r>
      </text>
    </comment>
    <comment ref="CH50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SRS @ RPCI</t>
        </r>
      </text>
    </comment>
    <comment ref="AE5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prior SRS to 3 brain lesions</t>
        </r>
      </text>
    </comment>
    <comment ref="AE54" authorId="0">
      <text>
        <r>
          <rPr>
            <b/>
            <sz val="8"/>
            <color indexed="81"/>
            <rFont val="Tahoma"/>
          </rPr>
          <t xml:space="preserve">mmilano
</t>
        </r>
        <r>
          <rPr>
            <sz val="8"/>
            <color indexed="81"/>
            <rFont val="Tahoma"/>
            <family val="2"/>
          </rPr>
          <t>5/2002 resected brain met</t>
        </r>
      </text>
    </comment>
    <comment ref="BM54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multiple treatments (3 SRS and IMRT)</t>
        </r>
      </text>
    </comment>
    <comment ref="AI58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from CUP</t>
        </r>
      </text>
    </comment>
    <comment ref="AF59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1999-2000 scans show multiple liver mets</t>
        </r>
      </text>
    </comment>
    <comment ref="AE60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resection of ovarian met. On 12/06/00</t>
        </r>
      </text>
    </comment>
    <comment ref="AF60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12/2000 peritoneal mets </t>
        </r>
      </text>
    </comment>
    <comment ref="AE6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5/1999 splenectomy for 3 foci
8/1999 and 12/2000 resection and RFA for liver lesions and LN sampling
12/2000 BSO and LNS
</t>
        </r>
      </text>
    </comment>
    <comment ref="AF6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12/2000 6 liver lesions (removed or RFA)</t>
        </r>
      </text>
    </comment>
    <comment ref="AF6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multiple liver lesions at presentation. (at least 4)</t>
        </r>
      </text>
    </comment>
    <comment ref="AN6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3 isocenters- 4 lesions (though not explicitly stated in  notes)</t>
        </r>
      </text>
    </comment>
    <comment ref="BL6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after retreatment</t>
        </r>
      </text>
    </comment>
    <comment ref="BM62" authorId="1">
      <text>
        <r>
          <rPr>
            <b/>
            <sz val="8"/>
            <color indexed="81"/>
            <rFont val="Tahoma"/>
          </rPr>
          <t>Michael Milano:</t>
        </r>
        <r>
          <rPr>
            <sz val="8"/>
            <color indexed="81"/>
            <rFont val="Tahoma"/>
          </rPr>
          <t xml:space="preserve">
reirradiated</t>
        </r>
      </text>
    </comment>
    <comment ref="AE63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10/2001 resection of ovarian mass</t>
        </r>
      </text>
    </comment>
    <comment ref="AF64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multiple regions of peritoneal studding at presentation</t>
        </r>
      </text>
    </comment>
    <comment ref="AU64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Planned course of 35 Gy. Admitted with perforated bowel</t>
        </r>
      </text>
    </comment>
    <comment ref="BL65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 lesion grew.  All stable afterwards on chemo. </t>
        </r>
      </text>
    </comment>
    <comment ref="AE69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8/1999 resection of solitary liver met</t>
        </r>
      </text>
    </comment>
    <comment ref="AF69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1995 abdominal wall seeding 
</t>
        </r>
      </text>
    </comment>
    <comment ref="AE70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4/2000 cytoreductive surgery (L pelvic sidewall, spleen, vaginal cuff)</t>
        </r>
      </text>
    </comment>
    <comment ref="AF70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1995 abdominal wall seeding 
4/2000 lets in vaginal cuff, pelvic sidewall, spleen (&gt;5?)</t>
        </r>
      </text>
    </comment>
    <comment ref="AE7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3/2000 LLL lobectomy
6/2001 LUL wedge resection</t>
        </r>
      </text>
    </comment>
    <comment ref="BL7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this actually did LF 6/18/04 (but was missed) in setting of new liver mets. changed 3/2008</t>
        </r>
      </text>
    </comment>
    <comment ref="AF7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7/2001 &gt;50 lung nodules</t>
        </r>
      </text>
    </comment>
    <comment ref="AG7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Megace</t>
        </r>
      </text>
    </comment>
    <comment ref="M75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remote h/o laryngeal and prostate cancer</t>
        </r>
      </text>
    </comment>
    <comment ref="BL76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smaller lesion grew</t>
        </r>
      </text>
    </comment>
    <comment ref="BR77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from Anna's database sheet (lung and thorax failure)</t>
        </r>
      </text>
    </comment>
    <comment ref="AE79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6/2002 resection of liver met (+ margins)</t>
        </r>
      </text>
    </comment>
    <comment ref="AE80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4/1994 and 5/1999 resection of liver met.
12/2001 RFA</t>
        </r>
      </text>
    </comment>
    <comment ref="CM8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liver transplant</t>
        </r>
      </text>
    </comment>
    <comment ref="AE8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11/2000 RUL lobectomy
2/2001 resection of sigmoid mass</t>
        </r>
      </text>
    </comment>
    <comment ref="AG8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megace initially</t>
        </r>
      </text>
    </comment>
    <comment ref="AE84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6/2002 lung resection</t>
        </r>
      </text>
    </comment>
    <comment ref="AF85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6/2002 WBRT for 5 brain mets</t>
        </r>
      </text>
    </comment>
    <comment ref="AE88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10/2002 wedge resection</t>
        </r>
      </text>
    </comment>
    <comment ref="AF88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9/24/02 CT C- 10 noduleS</t>
        </r>
      </text>
    </comment>
    <comment ref="AE89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7/2003 VATS resection</t>
        </r>
      </text>
    </comment>
    <comment ref="AE9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4/2002 lung resection</t>
        </r>
      </text>
    </comment>
    <comment ref="AE9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10/8/03 resection of brain met</t>
        </r>
      </text>
    </comment>
    <comment ref="AZ92" authorId="2">
      <text>
        <r>
          <rPr>
            <b/>
            <sz val="8"/>
            <color indexed="81"/>
            <rFont val="Tahoma"/>
          </rPr>
          <t>mike milano:</t>
        </r>
        <r>
          <rPr>
            <sz val="8"/>
            <color indexed="81"/>
            <rFont val="Tahoma"/>
          </rPr>
          <t xml:space="preserve">
resected p WBRT</t>
        </r>
      </text>
    </comment>
    <comment ref="CL92" authorId="1">
      <text>
        <r>
          <rPr>
            <b/>
            <sz val="8"/>
            <color indexed="81"/>
            <rFont val="Tahoma"/>
          </rPr>
          <t>Michael Milano:</t>
        </r>
        <r>
          <rPr>
            <sz val="8"/>
            <color indexed="81"/>
            <rFont val="Tahoma"/>
          </rPr>
          <t xml:space="preserve">
resection of brain met in 10/2003</t>
        </r>
      </text>
    </comment>
    <comment ref="AF96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11/2001 20 lesions</t>
        </r>
      </text>
    </comment>
    <comment ref="AE100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3/2002 and 9/2002 and 4/2003 resection of lung nodules</t>
        </r>
      </text>
    </comment>
    <comment ref="CN100" authorId="0">
      <text>
        <r>
          <rPr>
            <b/>
            <sz val="8"/>
            <color indexed="81"/>
            <rFont val="Tahoma"/>
          </rPr>
          <t xml:space="preserve">mmilano: 5 lung/med lesions: 16.73+6.83+2.64+14.96
2.58
</t>
        </r>
      </text>
    </comment>
    <comment ref="AF103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8/12/03 CT- multiple lung, liver and mediastinal lesions</t>
        </r>
      </text>
    </comment>
    <comment ref="AE104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4/2002 RFA of liver lesion</t>
        </r>
      </text>
    </comment>
    <comment ref="CH106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estimate based on planning CT</t>
        </r>
      </text>
    </comment>
    <comment ref="AF107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mutiple liver lesions in 6/2003</t>
        </r>
      </text>
    </comment>
    <comment ref="BL110" authorId="2">
      <text>
        <r>
          <rPr>
            <b/>
            <sz val="8"/>
            <color indexed="81"/>
            <rFont val="Tahoma"/>
          </rPr>
          <t>mike milano:</t>
        </r>
        <r>
          <rPr>
            <sz val="8"/>
            <color indexed="81"/>
            <rFont val="Tahoma"/>
          </rPr>
          <t xml:space="preserve">
MDA scored as LF.  However, CT scan reports state that disease is stable- in fact "sloghtly more prominent in prior study".</t>
        </r>
      </text>
    </comment>
    <comment ref="BR110" authorId="2">
      <text>
        <r>
          <rPr>
            <b/>
            <sz val="8"/>
            <color indexed="81"/>
            <rFont val="Tahoma"/>
          </rPr>
          <t>mike milano:</t>
        </r>
        <r>
          <rPr>
            <sz val="8"/>
            <color indexed="81"/>
            <rFont val="Tahoma"/>
          </rPr>
          <t xml:space="preserve">
malign pleural effusion</t>
        </r>
      </text>
    </comment>
    <comment ref="AE11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SRS for 3 brain mets</t>
        </r>
      </text>
    </comment>
    <comment ref="AE114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8/2003 RUL lobectomy
12/2003 LLL wedge</t>
        </r>
      </text>
    </comment>
    <comment ref="AE116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1/2004 resection of brain met
3/2004 SRS to 2 brain mets
prior RT to bone</t>
        </r>
      </text>
    </comment>
    <comment ref="AF116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2 brain mets, 2 lung mets, 2+ bone mets</t>
        </r>
      </text>
    </comment>
    <comment ref="AE118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lung resections in 2001 and 4/2002</t>
        </r>
      </text>
    </comment>
    <comment ref="BQ121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per discussion with Judy Krieger on 3/3/08. pt developed widepsread pleural effusion stemming from failure along Bx needle track. No LF</t>
        </r>
      </text>
    </comment>
    <comment ref="AE122" authorId="0">
      <text>
        <r>
          <rPr>
            <b/>
            <sz val="8"/>
            <color indexed="81"/>
            <rFont val="Tahoma"/>
          </rPr>
          <t>mmilano:</t>
        </r>
        <r>
          <rPr>
            <sz val="8"/>
            <color indexed="81"/>
            <rFont val="Tahoma"/>
          </rPr>
          <t xml:space="preserve">
12/2002 craniotomy and resection</t>
        </r>
      </text>
    </comment>
  </commentList>
</comments>
</file>

<file path=xl/sharedStrings.xml><?xml version="1.0" encoding="utf-8"?>
<sst xmlns="http://schemas.openxmlformats.org/spreadsheetml/2006/main" count="3400" uniqueCount="542">
  <si>
    <t>dyspnea 2x, pain</t>
  </si>
  <si>
    <t>adrenal</t>
  </si>
  <si>
    <t xml:space="preserve">Lackey </t>
  </si>
  <si>
    <t xml:space="preserve">Thornberg </t>
  </si>
  <si>
    <t>new liver lesion</t>
  </si>
  <si>
    <t xml:space="preserve">Hunt </t>
  </si>
  <si>
    <t>Sheldon</t>
  </si>
  <si>
    <t xml:space="preserve">Bradford </t>
  </si>
  <si>
    <t>Kathleen</t>
  </si>
  <si>
    <t xml:space="preserve">Wiley </t>
  </si>
  <si>
    <t>transitional cell carc.</t>
  </si>
  <si>
    <t>AML 2002</t>
  </si>
  <si>
    <t>carcinoid</t>
  </si>
  <si>
    <t>Stewart</t>
  </si>
  <si>
    <t>Randy</t>
  </si>
  <si>
    <t>Herb</t>
  </si>
  <si>
    <t>brain srs and Cl21</t>
  </si>
  <si>
    <t>Herbert</t>
  </si>
  <si>
    <t>PCI, gamma knife, left neck (Buffalo)</t>
  </si>
  <si>
    <t>brain, left neck, liver</t>
  </si>
  <si>
    <t>ribs Cl21, lung Nov, brain</t>
  </si>
  <si>
    <t>bone, brain</t>
  </si>
  <si>
    <t>1</t>
  </si>
  <si>
    <t>Loleta</t>
  </si>
  <si>
    <t>cortical carcinoma</t>
  </si>
  <si>
    <t>Goldstein</t>
  </si>
  <si>
    <t>Edith</t>
  </si>
  <si>
    <t>Jeanine</t>
  </si>
  <si>
    <t xml:space="preserve">Taft </t>
  </si>
  <si>
    <t xml:space="preserve">Woodard </t>
  </si>
  <si>
    <t>Sheila</t>
  </si>
  <si>
    <t>vulva</t>
  </si>
  <si>
    <t>sinus</t>
  </si>
  <si>
    <t>brain, adrenal, bone</t>
  </si>
  <si>
    <t>Katz</t>
  </si>
  <si>
    <t>squamous cell carc</t>
  </si>
  <si>
    <t>dehydration</t>
  </si>
  <si>
    <t>progression</t>
  </si>
  <si>
    <t>0</t>
  </si>
  <si>
    <t>infil ductal</t>
  </si>
  <si>
    <t>bone</t>
  </si>
  <si>
    <t>liver Nov</t>
  </si>
  <si>
    <t>Hancock</t>
  </si>
  <si>
    <t>Bruce</t>
  </si>
  <si>
    <t xml:space="preserve">Cutro </t>
  </si>
  <si>
    <t>Cortner</t>
  </si>
  <si>
    <t>Theresa</t>
  </si>
  <si>
    <t xml:space="preserve">Spohn </t>
  </si>
  <si>
    <t>Forbes</t>
  </si>
  <si>
    <t>Okunieff</t>
  </si>
  <si>
    <t>MDA</t>
  </si>
  <si>
    <t>Jenkins</t>
  </si>
  <si>
    <t>endocervical</t>
  </si>
  <si>
    <t>John</t>
  </si>
  <si>
    <t>T12</t>
  </si>
  <si>
    <t xml:space="preserve">Kaplan </t>
  </si>
  <si>
    <t>Lawrence</t>
  </si>
  <si>
    <t>Maura</t>
  </si>
  <si>
    <t>1, 3x</t>
  </si>
  <si>
    <t>Lillian</t>
  </si>
  <si>
    <t xml:space="preserve">Randazzese </t>
  </si>
  <si>
    <t>pulmonary hypertension, acute renal failure</t>
  </si>
  <si>
    <t>brain SRS</t>
  </si>
  <si>
    <t>Cullen</t>
  </si>
  <si>
    <t>colon</t>
  </si>
  <si>
    <t>tah, sbo</t>
  </si>
  <si>
    <t>undiff carcinoma</t>
  </si>
  <si>
    <t>Henry</t>
  </si>
  <si>
    <t>Chen</t>
  </si>
  <si>
    <t>LeeLee</t>
  </si>
  <si>
    <t>uterus</t>
  </si>
  <si>
    <t xml:space="preserve">Ohr </t>
  </si>
  <si>
    <t>small  cell carcinoma</t>
  </si>
  <si>
    <t>cva</t>
  </si>
  <si>
    <t>additional lung</t>
  </si>
  <si>
    <t>lung nov</t>
  </si>
  <si>
    <t>Tucker</t>
  </si>
  <si>
    <t>Carolyn</t>
  </si>
  <si>
    <t>Lane</t>
  </si>
  <si>
    <t>May 05</t>
  </si>
  <si>
    <t>surgical resection of 2 liver lesions</t>
  </si>
  <si>
    <t xml:space="preserve">Pyle </t>
  </si>
  <si>
    <t>progressive disease</t>
  </si>
  <si>
    <t>exploratory laparotomy</t>
  </si>
  <si>
    <t>Barbara</t>
  </si>
  <si>
    <t xml:space="preserve">Petralia </t>
  </si>
  <si>
    <t xml:space="preserve">Taylor </t>
  </si>
  <si>
    <t>unk.</t>
  </si>
  <si>
    <t>unk</t>
  </si>
  <si>
    <t>lung met</t>
  </si>
  <si>
    <t>liver, pelvic wall, lymph nodes</t>
  </si>
  <si>
    <t xml:space="preserve">Grillo </t>
  </si>
  <si>
    <t>chemo for AML</t>
  </si>
  <si>
    <t>lt iliac wing</t>
  </si>
  <si>
    <t># of fractions</t>
  </si>
  <si>
    <t>Fraction size</t>
  </si>
  <si>
    <t>Total Dose</t>
  </si>
  <si>
    <t>Hospitalization</t>
  </si>
  <si>
    <t>Addt'l site (relapse, 2nd met?)</t>
  </si>
  <si>
    <t>Addt'l Tx</t>
  </si>
  <si>
    <t>wedge resections rt lung</t>
  </si>
  <si>
    <t>Date of death</t>
  </si>
  <si>
    <t>lung Nov</t>
  </si>
  <si>
    <t>bladder, 2nd primary</t>
  </si>
  <si>
    <t>incontinence</t>
  </si>
  <si>
    <t>progressive disease, sepsis</t>
  </si>
  <si>
    <t>George</t>
  </si>
  <si>
    <t>c</t>
  </si>
  <si>
    <t>p</t>
  </si>
  <si>
    <t>Rt foot and ankle</t>
  </si>
  <si>
    <t>Carcinoid</t>
  </si>
  <si>
    <t xml:space="preserve">Harris </t>
  </si>
  <si>
    <t>Wendell S.</t>
  </si>
  <si>
    <t>Vorhis</t>
  </si>
  <si>
    <t>Marjorie</t>
  </si>
  <si>
    <t>Petrecky</t>
  </si>
  <si>
    <t>Russell</t>
  </si>
  <si>
    <t xml:space="preserve">Knorr </t>
  </si>
  <si>
    <t>Ruby</t>
  </si>
  <si>
    <t xml:space="preserve">Olek </t>
  </si>
  <si>
    <t>Gregory</t>
  </si>
  <si>
    <t>SMH</t>
  </si>
  <si>
    <t>breast</t>
  </si>
  <si>
    <t>Margaret</t>
  </si>
  <si>
    <t>melanoma</t>
  </si>
  <si>
    <t>leiomyosarcoma</t>
  </si>
  <si>
    <t>hepatoma</t>
  </si>
  <si>
    <t>colorectal</t>
  </si>
  <si>
    <t>rectosigmoid</t>
  </si>
  <si>
    <t>Sheets</t>
  </si>
  <si>
    <t>RT start Date</t>
  </si>
  <si>
    <t>brain and bone prior to nov.</t>
  </si>
  <si>
    <t>hepatic failure contributory</t>
  </si>
  <si>
    <t>nausea, vomiting</t>
  </si>
  <si>
    <t>poorly diff NSCLC</t>
  </si>
  <si>
    <t>brain, bone</t>
  </si>
  <si>
    <t>Frederick</t>
  </si>
  <si>
    <t>Mitchell</t>
  </si>
  <si>
    <t xml:space="preserve">Wideman </t>
  </si>
  <si>
    <t>Mary Ellen</t>
  </si>
  <si>
    <t>lt thigh</t>
  </si>
  <si>
    <t>small bowel obstr, perf.</t>
  </si>
  <si>
    <t>pelvis</t>
  </si>
  <si>
    <t>liver, bone</t>
  </si>
  <si>
    <t>rectum</t>
  </si>
  <si>
    <t>pneumothorax after thoracentesis</t>
  </si>
  <si>
    <t>E. Barry</t>
  </si>
  <si>
    <t xml:space="preserve">Bauer </t>
  </si>
  <si>
    <t>adrenocortical</t>
  </si>
  <si>
    <t>Hagins</t>
  </si>
  <si>
    <t>Nathaniel</t>
  </si>
  <si>
    <t>Austin</t>
  </si>
  <si>
    <t>Jay</t>
  </si>
  <si>
    <t>lung, bone</t>
  </si>
  <si>
    <t>SOB</t>
  </si>
  <si>
    <t>adenocarc.</t>
  </si>
  <si>
    <t xml:space="preserve">Jagodzinski </t>
  </si>
  <si>
    <t>lung &amp; skull (bone)</t>
  </si>
  <si>
    <t>retina Nov, paratrach Nov</t>
  </si>
  <si>
    <t>small bowel mass</t>
  </si>
  <si>
    <t>small bowel</t>
  </si>
  <si>
    <t>Kevin</t>
  </si>
  <si>
    <t>Physician</t>
  </si>
  <si>
    <t>Primary Site</t>
  </si>
  <si>
    <t>Site of Mets</t>
  </si>
  <si>
    <t xml:space="preserve">Banks </t>
  </si>
  <si>
    <t>hypotension, sepsis</t>
  </si>
  <si>
    <t>lung+ unknown 2nd primary</t>
  </si>
  <si>
    <t xml:space="preserve">Lung </t>
  </si>
  <si>
    <t>prostate (1998), bone</t>
  </si>
  <si>
    <t>Brasacchio</t>
  </si>
  <si>
    <t>Thomas</t>
  </si>
  <si>
    <t xml:space="preserve">Finkel </t>
  </si>
  <si>
    <t>Mildred</t>
  </si>
  <si>
    <t xml:space="preserve">Lewis </t>
  </si>
  <si>
    <t>bone, brain(2nd primary)</t>
  </si>
  <si>
    <t xml:space="preserve">MacLeay </t>
  </si>
  <si>
    <t>WBI (in Florida)</t>
  </si>
  <si>
    <t>bone CL21</t>
  </si>
  <si>
    <t>synovial cell carc</t>
  </si>
  <si>
    <t>Cause of Death</t>
  </si>
  <si>
    <t>Joan</t>
  </si>
  <si>
    <t>Judy</t>
  </si>
  <si>
    <t>bowel obstr.</t>
  </si>
  <si>
    <t>lung bone</t>
  </si>
  <si>
    <t>rectum Nov</t>
  </si>
  <si>
    <t>NSCLC squamous</t>
  </si>
  <si>
    <t xml:space="preserve">Hollenbeck </t>
  </si>
  <si>
    <t>Burns</t>
  </si>
  <si>
    <t>Roslyn</t>
  </si>
  <si>
    <t>Buchholz</t>
  </si>
  <si>
    <t>Lawson</t>
  </si>
  <si>
    <t xml:space="preserve">Petrauskas </t>
  </si>
  <si>
    <t>Helen</t>
  </si>
  <si>
    <t>weeks of RT</t>
  </si>
  <si>
    <t xml:space="preserve">Bloomberg </t>
  </si>
  <si>
    <t>Wayert</t>
  </si>
  <si>
    <t>Donna</t>
  </si>
  <si>
    <t>cystadenocarcinoma</t>
  </si>
  <si>
    <t>Peteris</t>
  </si>
  <si>
    <t>McNaughton</t>
  </si>
  <si>
    <t>brain</t>
  </si>
  <si>
    <t>Leo</t>
  </si>
  <si>
    <t>Phyllis</t>
  </si>
  <si>
    <t xml:space="preserve">Holmes </t>
  </si>
  <si>
    <t xml:space="preserve">Harkness </t>
  </si>
  <si>
    <t xml:space="preserve">Cody </t>
  </si>
  <si>
    <t>Cheryl</t>
  </si>
  <si>
    <t xml:space="preserve">pelvis and ureter </t>
  </si>
  <si>
    <t>piriform sinus</t>
  </si>
  <si>
    <t>Barber</t>
  </si>
  <si>
    <t xml:space="preserve">Harley </t>
  </si>
  <si>
    <t>Charles</t>
  </si>
  <si>
    <t xml:space="preserve">Dempsey </t>
  </si>
  <si>
    <t>liver, lung nov</t>
  </si>
  <si>
    <t>lung,liver,brain</t>
  </si>
  <si>
    <t>Larry</t>
  </si>
  <si>
    <t>adrenal, non-Hodgkins lymphoma</t>
  </si>
  <si>
    <t xml:space="preserve">Buttons </t>
  </si>
  <si>
    <t>bladder</t>
  </si>
  <si>
    <t>esophagus</t>
  </si>
  <si>
    <t>Ewing's sarcoma</t>
  </si>
  <si>
    <t>Bernard</t>
  </si>
  <si>
    <t>fatigue, anorexia, dehydration</t>
  </si>
  <si>
    <t>respiratory failure, acute renal failure</t>
  </si>
  <si>
    <t>large cell neuroendocrine</t>
  </si>
  <si>
    <t>Dyhr</t>
  </si>
  <si>
    <t>lung/bone</t>
  </si>
  <si>
    <t xml:space="preserve">Wells </t>
  </si>
  <si>
    <t xml:space="preserve">Galansky </t>
  </si>
  <si>
    <t>Rose</t>
  </si>
  <si>
    <t>Pelano</t>
  </si>
  <si>
    <t>RT End Date</t>
  </si>
  <si>
    <t>Plummer</t>
  </si>
  <si>
    <t>uncontrolled pain</t>
  </si>
  <si>
    <t xml:space="preserve">Macomber </t>
  </si>
  <si>
    <t>Norselli</t>
  </si>
  <si>
    <t>Richard</t>
  </si>
  <si>
    <t xml:space="preserve">bladder </t>
  </si>
  <si>
    <t>rectal</t>
  </si>
  <si>
    <t>Cl21 prior</t>
  </si>
  <si>
    <t>Leslie</t>
  </si>
  <si>
    <t>Judith</t>
  </si>
  <si>
    <t xml:space="preserve">Mock </t>
  </si>
  <si>
    <t>invasive ductal carc</t>
  </si>
  <si>
    <t xml:space="preserve">Polmanteer </t>
  </si>
  <si>
    <t xml:space="preserve">Province </t>
  </si>
  <si>
    <t>Paul</t>
  </si>
  <si>
    <t>Raemarie</t>
  </si>
  <si>
    <t>liver CL21</t>
  </si>
  <si>
    <t>Bernadine</t>
  </si>
  <si>
    <t xml:space="preserve">Nicosia </t>
  </si>
  <si>
    <t>liver Nov (re-tx)</t>
  </si>
  <si>
    <t>radioablation, compl with ileus</t>
  </si>
  <si>
    <t>Liver (other areas)</t>
  </si>
  <si>
    <t>hepatocellular ca</t>
  </si>
  <si>
    <t xml:space="preserve">Ferraro </t>
  </si>
  <si>
    <t>Last Name</t>
  </si>
  <si>
    <t>ovary</t>
  </si>
  <si>
    <t>Robert</t>
  </si>
  <si>
    <t xml:space="preserve">Kozel </t>
  </si>
  <si>
    <t>Burton</t>
  </si>
  <si>
    <t>Mary</t>
  </si>
  <si>
    <t xml:space="preserve">DeMayo </t>
  </si>
  <si>
    <t>parotid gland</t>
  </si>
  <si>
    <t>Bladder</t>
  </si>
  <si>
    <t xml:space="preserve">McKenna </t>
  </si>
  <si>
    <t xml:space="preserve">James </t>
  </si>
  <si>
    <t>WBI Cl21, adreanal nov, pelvis Cl21, Lspine Cl21</t>
  </si>
  <si>
    <t>Marten</t>
  </si>
  <si>
    <t>Liver</t>
  </si>
  <si>
    <t>Lung</t>
  </si>
  <si>
    <t>Ray</t>
  </si>
  <si>
    <t>liver relapse</t>
  </si>
  <si>
    <t>Bucholz</t>
  </si>
  <si>
    <t>M. Arlene</t>
  </si>
  <si>
    <t xml:space="preserve">Owens </t>
  </si>
  <si>
    <t>Joyce</t>
  </si>
  <si>
    <t xml:space="preserve">Underwood </t>
  </si>
  <si>
    <t>Laverne</t>
  </si>
  <si>
    <t>small bowel obstr.</t>
  </si>
  <si>
    <t>lung NSCLC</t>
  </si>
  <si>
    <t xml:space="preserve">Sullivan </t>
  </si>
  <si>
    <t>chest wall Cl23, pelvis Cl23, lung Nov</t>
  </si>
  <si>
    <t xml:space="preserve">Radicone </t>
  </si>
  <si>
    <t>liver transplant</t>
  </si>
  <si>
    <t>Anthony</t>
  </si>
  <si>
    <t>kidney</t>
  </si>
  <si>
    <t>Hosp. reason</t>
  </si>
  <si>
    <t xml:space="preserve">Laverdi </t>
  </si>
  <si>
    <t>hepatic failure dominant</t>
  </si>
  <si>
    <t>Strakes</t>
  </si>
  <si>
    <t>Small bowel</t>
  </si>
  <si>
    <t>JoAnn</t>
  </si>
  <si>
    <t xml:space="preserve">Cook </t>
  </si>
  <si>
    <t>respiratory failure dominant</t>
  </si>
  <si>
    <t>respiratory distress</t>
  </si>
  <si>
    <t>Dorothy</t>
  </si>
  <si>
    <t>Breast</t>
  </si>
  <si>
    <t>Payne</t>
  </si>
  <si>
    <t xml:space="preserve">Nied </t>
  </si>
  <si>
    <t>dyspnea, endobronchial lesion</t>
  </si>
  <si>
    <t>peritoneum, ovary, lymph nodes</t>
  </si>
  <si>
    <t>Daniel</t>
  </si>
  <si>
    <t>hepatocellular carcinoma</t>
  </si>
  <si>
    <t xml:space="preserve">Barber </t>
  </si>
  <si>
    <t>Grace</t>
  </si>
  <si>
    <t>Jane</t>
  </si>
  <si>
    <t>Jeffrey</t>
  </si>
  <si>
    <t>pancreas</t>
  </si>
  <si>
    <t>Peritoneal primary</t>
  </si>
  <si>
    <t>Sabik</t>
  </si>
  <si>
    <t>Davidson</t>
  </si>
  <si>
    <t>Linda</t>
  </si>
  <si>
    <t>Rectum</t>
  </si>
  <si>
    <t>liver</t>
  </si>
  <si>
    <t>James</t>
  </si>
  <si>
    <t>Pancreas</t>
  </si>
  <si>
    <t xml:space="preserve">Vidas </t>
  </si>
  <si>
    <t xml:space="preserve">Zeluff </t>
  </si>
  <si>
    <t>liver/lung</t>
  </si>
  <si>
    <t>Ronald</t>
  </si>
  <si>
    <t>First Name</t>
  </si>
  <si>
    <t>Michael</t>
  </si>
  <si>
    <t>Douglas</t>
  </si>
  <si>
    <t>fall, change in mental status</t>
  </si>
  <si>
    <t>cecum</t>
  </si>
  <si>
    <t>lung</t>
  </si>
  <si>
    <t>lung, skull, T12</t>
  </si>
  <si>
    <t xml:space="preserve">Parker </t>
  </si>
  <si>
    <t>Kelly</t>
  </si>
  <si>
    <t xml:space="preserve">Castaldo </t>
  </si>
  <si>
    <t xml:space="preserve">Pollastro </t>
  </si>
  <si>
    <t>Muesebeck</t>
  </si>
  <si>
    <t>Patricia</t>
  </si>
  <si>
    <t>Buchanz</t>
  </si>
  <si>
    <t>retina, bone, brain</t>
  </si>
  <si>
    <t>Gender</t>
  </si>
  <si>
    <t>Date Registered</t>
  </si>
  <si>
    <t>lung, node, abdomen met</t>
  </si>
  <si>
    <t>lung/liver</t>
  </si>
  <si>
    <t xml:space="preserve">Rizzo </t>
  </si>
  <si>
    <t>renal cell carcinoma</t>
  </si>
  <si>
    <t>Renal cell</t>
  </si>
  <si>
    <t>SRS</t>
  </si>
  <si>
    <t xml:space="preserve">Lehmkuhl </t>
  </si>
  <si>
    <t>Constine</t>
  </si>
  <si>
    <t>renal cell</t>
  </si>
  <si>
    <t>endometrial</t>
  </si>
  <si>
    <t>nodes</t>
  </si>
  <si>
    <t>neck, bone, rt breast, chest wall</t>
  </si>
  <si>
    <t>neck, breast, chest wall, L-spine (all in NYC)</t>
  </si>
  <si>
    <t>#</t>
  </si>
  <si>
    <t>MRN</t>
  </si>
  <si>
    <t>Inst</t>
  </si>
  <si>
    <t>DOB</t>
  </si>
  <si>
    <t>age</t>
  </si>
  <si>
    <t>GTV initial</t>
  </si>
  <si>
    <t>organs initial</t>
  </si>
  <si>
    <t>Primary Histology</t>
  </si>
  <si>
    <t>liver progression</t>
  </si>
  <si>
    <t>NSCLC+ SCLC</t>
  </si>
  <si>
    <t>liver, lung</t>
  </si>
  <si>
    <t>C</t>
  </si>
  <si>
    <t>P</t>
  </si>
  <si>
    <t>2nd olig RT</t>
  </si>
  <si>
    <t>6/4/03</t>
  </si>
  <si>
    <t>2/2/04</t>
  </si>
  <si>
    <t>initial lung</t>
  </si>
  <si>
    <t>initial liver</t>
  </si>
  <si>
    <t>initial adrenal</t>
  </si>
  <si>
    <t>initial bone</t>
  </si>
  <si>
    <t>1/21/03</t>
  </si>
  <si>
    <t>addl RT</t>
  </si>
  <si>
    <t>bone, brain, Nov</t>
  </si>
  <si>
    <t>3/4/03</t>
  </si>
  <si>
    <t>OS (M)</t>
  </si>
  <si>
    <t>Date mets developed (treated)</t>
  </si>
  <si>
    <t>7/15/03</t>
  </si>
  <si>
    <t>lung, brain</t>
  </si>
  <si>
    <t>initial hilum/ mediast</t>
  </si>
  <si>
    <t>initial CNS</t>
  </si>
  <si>
    <t>Date Dx Primary (approx)</t>
  </si>
  <si>
    <t>?</t>
  </si>
  <si>
    <t>paratrach area?</t>
  </si>
  <si>
    <t>lung Cl23?</t>
  </si>
  <si>
    <t>Date Dn with M1 (approx)</t>
  </si>
  <si>
    <t>Y/Y</t>
  </si>
  <si>
    <t>Y/N</t>
  </si>
  <si>
    <t>Y</t>
  </si>
  <si>
    <t>N/Y</t>
  </si>
  <si>
    <t>N/N</t>
  </si>
  <si>
    <t>pelvis, CW</t>
  </si>
  <si>
    <t>SBRT</t>
  </si>
  <si>
    <t>syst Rx: 1/M1</t>
  </si>
  <si>
    <t>prior &gt;5 DM</t>
  </si>
  <si>
    <t>LF</t>
  </si>
  <si>
    <t>date</t>
  </si>
  <si>
    <t>DF</t>
  </si>
  <si>
    <t>unknown</t>
  </si>
  <si>
    <t>NA</t>
  </si>
  <si>
    <t>12/7/04</t>
  </si>
  <si>
    <t>a</t>
  </si>
  <si>
    <t>b</t>
  </si>
  <si>
    <t>squamous cell carc and DLBCL</t>
  </si>
  <si>
    <t>acute decompensation W/ hypoxemia + hypotension</t>
  </si>
  <si>
    <t xml:space="preserve">Czudak </t>
  </si>
  <si>
    <t>Sandra</t>
  </si>
  <si>
    <t>N</t>
  </si>
  <si>
    <t>1, 2x</t>
  </si>
  <si>
    <t>spinal fusion, thoracoscopy, pleural biopsy</t>
  </si>
  <si>
    <t>0 (2x prior to enrollment</t>
  </si>
  <si>
    <t>hepatocellular</t>
  </si>
  <si>
    <t>MRF</t>
  </si>
  <si>
    <t>status 0=alive 1=dead</t>
  </si>
  <si>
    <t>addl resect</t>
  </si>
  <si>
    <t>3rd+ oligo RT</t>
  </si>
  <si>
    <t>7/9/04, 3/21/05</t>
  </si>
  <si>
    <t>histo</t>
  </si>
  <si>
    <t>site</t>
  </si>
  <si>
    <t>abd or pelvic LNs</t>
  </si>
  <si>
    <t># lesions treated</t>
  </si>
  <si>
    <t>reXRT or S for LF</t>
  </si>
  <si>
    <t>SRS, WBI</t>
  </si>
  <si>
    <t>Pavone</t>
  </si>
  <si>
    <t>Scannell</t>
  </si>
  <si>
    <t>Forth</t>
  </si>
  <si>
    <t>Gallo</t>
  </si>
  <si>
    <t>Hall</t>
  </si>
  <si>
    <t>Taub</t>
  </si>
  <si>
    <t>Weiss</t>
  </si>
  <si>
    <t>Orlando</t>
  </si>
  <si>
    <t>Gillespie</t>
  </si>
  <si>
    <t>Vandurme</t>
  </si>
  <si>
    <t>Bornhorst</t>
  </si>
  <si>
    <t>Kennedy</t>
  </si>
  <si>
    <t>Ansari</t>
  </si>
  <si>
    <t>Haahr</t>
  </si>
  <si>
    <t>Boyce</t>
  </si>
  <si>
    <t>Antonelli</t>
  </si>
  <si>
    <t>McStravick</t>
  </si>
  <si>
    <t>Cruz</t>
  </si>
  <si>
    <t>Wright</t>
  </si>
  <si>
    <t>Bangrazi</t>
  </si>
  <si>
    <t>Verdaasdonk</t>
  </si>
  <si>
    <t>Fox</t>
  </si>
  <si>
    <t>Xenakis</t>
  </si>
  <si>
    <t>Pancari</t>
  </si>
  <si>
    <t>Tower</t>
  </si>
  <si>
    <t>Stives</t>
  </si>
  <si>
    <t>Potts</t>
  </si>
  <si>
    <t>Spitler</t>
  </si>
  <si>
    <t>Stanton</t>
  </si>
  <si>
    <t>Angela</t>
  </si>
  <si>
    <t>Nancy</t>
  </si>
  <si>
    <t>Virginia</t>
  </si>
  <si>
    <t>Louise</t>
  </si>
  <si>
    <t>Pamela</t>
  </si>
  <si>
    <t>Julia</t>
  </si>
  <si>
    <t>Anette</t>
  </si>
  <si>
    <t>Colleen</t>
  </si>
  <si>
    <t>Kimberly</t>
  </si>
  <si>
    <t>Sharon</t>
  </si>
  <si>
    <t>Rochelle</t>
  </si>
  <si>
    <t>Stephanie</t>
  </si>
  <si>
    <t>Maryann</t>
  </si>
  <si>
    <t>Janet</t>
  </si>
  <si>
    <t>Olga</t>
  </si>
  <si>
    <t>Jacqueline</t>
  </si>
  <si>
    <t>Gilda</t>
  </si>
  <si>
    <t>LeShawn</t>
  </si>
  <si>
    <t>Kay</t>
  </si>
  <si>
    <t>Sandhu</t>
  </si>
  <si>
    <t>Ling</t>
  </si>
  <si>
    <t>Milano</t>
  </si>
  <si>
    <t>infiltrating ductal</t>
  </si>
  <si>
    <t>iniltrating ductal with lobular component</t>
  </si>
  <si>
    <t>invasive ductal</t>
  </si>
  <si>
    <t>infiltrating ductal with lobular features</t>
  </si>
  <si>
    <t>base of skull</t>
  </si>
  <si>
    <t>infraclavicular  mass</t>
  </si>
  <si>
    <t>lymph node</t>
  </si>
  <si>
    <t>lung, lymph N</t>
  </si>
  <si>
    <t>axilla, bone</t>
  </si>
  <si>
    <t>spine T10-T12</t>
  </si>
  <si>
    <t>liver nov</t>
  </si>
  <si>
    <t>P?</t>
  </si>
  <si>
    <t>bone, liver</t>
  </si>
  <si>
    <t>sacrum, femur</t>
  </si>
  <si>
    <t>prot</t>
  </si>
  <si>
    <t>brain srs</t>
  </si>
  <si>
    <t>liver and bone Nov</t>
  </si>
  <si>
    <t>10/17/2005, 10/31/05, 6/26/06</t>
  </si>
  <si>
    <t>NSCLC adeno</t>
  </si>
  <si>
    <t>high grade sarcoma</t>
  </si>
  <si>
    <t>spindle cell sarcoma</t>
  </si>
  <si>
    <t>Dn -M1 (M)</t>
  </si>
  <si>
    <t>M1 - RT M1 (M)</t>
  </si>
  <si>
    <t>M1 RT - enroll (M)</t>
  </si>
  <si>
    <t>prior curartive local tx</t>
  </si>
  <si>
    <t>reXRT to hilum, XRT to bone, brain SRS</t>
  </si>
  <si>
    <t>1st-2nd</t>
  </si>
  <si>
    <t>M1 chem</t>
  </si>
  <si>
    <t>GTV</t>
  </si>
  <si>
    <t>s</t>
  </si>
  <si>
    <t>h</t>
  </si>
  <si>
    <t>r</t>
  </si>
  <si>
    <t>q</t>
  </si>
  <si>
    <t>n</t>
  </si>
  <si>
    <t>x</t>
  </si>
  <si>
    <t>l</t>
  </si>
  <si>
    <t>g</t>
  </si>
  <si>
    <t>PFS (M)</t>
  </si>
  <si>
    <t>DF/LF</t>
  </si>
  <si>
    <t>local progression</t>
  </si>
  <si>
    <t>new oligo</t>
  </si>
  <si>
    <t>embolization</t>
  </si>
  <si>
    <t>LF time p RT</t>
  </si>
  <si>
    <t>DF time</t>
  </si>
  <si>
    <t>omentum (peritoneal resection + IP chemo), umbilicus (resected)</t>
  </si>
  <si>
    <t>NED @ &gt;2Y FU</t>
  </si>
  <si>
    <t>alive NED</t>
  </si>
  <si>
    <t>LF p enroll</t>
  </si>
  <si>
    <t>LFD</t>
  </si>
  <si>
    <t>DFD</t>
  </si>
  <si>
    <t>OSD</t>
  </si>
  <si>
    <t>PFSD</t>
  </si>
  <si>
    <t>5/2005, 8/17/05, 4/2007</t>
  </si>
  <si>
    <t>CIS or SSDI</t>
  </si>
  <si>
    <t>2x</t>
  </si>
  <si>
    <t>PFSX</t>
  </si>
  <si>
    <t>PFSDX</t>
  </si>
  <si>
    <t>DFLFX</t>
  </si>
  <si>
    <t>date PFSX</t>
  </si>
  <si>
    <t>1/03/05</t>
  </si>
  <si>
    <t>DB#</t>
  </si>
  <si>
    <t>Ersilla</t>
  </si>
  <si>
    <t>B</t>
  </si>
  <si>
    <t>prim Dn - enroll</t>
  </si>
  <si>
    <t>Casserly</t>
  </si>
  <si>
    <t>number</t>
  </si>
  <si>
    <t>breast f/u</t>
  </si>
</sst>
</file>

<file path=xl/styles.xml><?xml version="1.0" encoding="utf-8"?>
<styleSheet xmlns="http://schemas.openxmlformats.org/spreadsheetml/2006/main">
  <numFmts count="3">
    <numFmt numFmtId="166" formatCode="mm/dd/yy"/>
    <numFmt numFmtId="169" formatCode="0.0"/>
    <numFmt numFmtId="174" formatCode="mm/dd/yy;@"/>
  </numFmts>
  <fonts count="16">
    <font>
      <sz val="10"/>
      <name val="Geneva"/>
    </font>
    <font>
      <sz val="10"/>
      <name val="Verdana"/>
    </font>
    <font>
      <sz val="8"/>
      <name val="Verdana"/>
    </font>
    <font>
      <i/>
      <sz val="10"/>
      <name val="Verdana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name val="Verdana"/>
      <family val="2"/>
    </font>
    <font>
      <sz val="10"/>
      <color indexed="18"/>
      <name val="Verdana"/>
      <family val="2"/>
    </font>
    <font>
      <sz val="10"/>
      <color indexed="10"/>
      <name val="Verdana"/>
      <family val="2"/>
    </font>
    <font>
      <sz val="8"/>
      <color indexed="81"/>
      <name val="Tahoma"/>
      <family val="2"/>
    </font>
    <font>
      <sz val="10"/>
      <color indexed="8"/>
      <name val="Verdana"/>
      <family val="2"/>
    </font>
    <font>
      <sz val="10"/>
      <name val="Geneva"/>
    </font>
    <font>
      <sz val="10"/>
      <color indexed="14"/>
      <name val="Verdana"/>
      <family val="2"/>
    </font>
    <font>
      <b/>
      <i/>
      <sz val="8"/>
      <color indexed="10"/>
      <name val="Geneva"/>
    </font>
    <font>
      <b/>
      <sz val="10"/>
      <name val="Geneva"/>
      <family val="2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wrapText="1"/>
    </xf>
    <xf numFmtId="0" fontId="15" fillId="6" borderId="0" applyNumberFormat="0" applyBorder="0" applyAlignment="0" applyProtection="0"/>
  </cellStyleXfs>
  <cellXfs count="203">
    <xf numFmtId="0" fontId="0" fillId="0" borderId="0" xfId="0"/>
    <xf numFmtId="0" fontId="6" fillId="2" borderId="1" xfId="0" applyFont="1" applyFill="1" applyBorder="1"/>
    <xf numFmtId="0" fontId="6" fillId="2" borderId="1" xfId="1" applyFont="1" applyFill="1" applyBorder="1">
      <alignment wrapText="1"/>
    </xf>
    <xf numFmtId="49" fontId="6" fillId="2" borderId="1" xfId="1" applyNumberFormat="1" applyFont="1" applyFill="1" applyBorder="1" applyAlignment="1" applyProtection="1"/>
    <xf numFmtId="1" fontId="6" fillId="2" borderId="1" xfId="1" applyNumberFormat="1" applyFont="1" applyFill="1" applyBorder="1" applyAlignment="1" applyProtection="1">
      <alignment horizontal="center"/>
    </xf>
    <xf numFmtId="174" fontId="6" fillId="2" borderId="1" xfId="1" applyNumberFormat="1" applyFont="1" applyFill="1" applyBorder="1" applyAlignment="1" applyProtection="1"/>
    <xf numFmtId="1" fontId="6" fillId="2" borderId="1" xfId="1" applyNumberFormat="1" applyFont="1" applyFill="1" applyBorder="1" applyAlignment="1"/>
    <xf numFmtId="49" fontId="6" fillId="2" borderId="1" xfId="1" applyNumberFormat="1" applyFont="1" applyFill="1" applyBorder="1" applyAlignment="1"/>
    <xf numFmtId="49" fontId="6" fillId="2" borderId="1" xfId="1" applyNumberFormat="1" applyFont="1" applyFill="1" applyBorder="1" applyAlignment="1">
      <alignment horizontal="center"/>
    </xf>
    <xf numFmtId="49" fontId="6" fillId="2" borderId="1" xfId="1" applyNumberFormat="1" applyFont="1" applyFill="1" applyBorder="1" applyAlignment="1">
      <alignment horizontal="center" wrapText="1"/>
    </xf>
    <xf numFmtId="174" fontId="6" fillId="2" borderId="1" xfId="1" applyNumberFormat="1" applyFont="1" applyFill="1" applyBorder="1">
      <alignment wrapText="1"/>
    </xf>
    <xf numFmtId="1" fontId="6" fillId="2" borderId="1" xfId="1" applyNumberFormat="1" applyFont="1" applyFill="1" applyBorder="1">
      <alignment wrapText="1"/>
    </xf>
    <xf numFmtId="49" fontId="6" fillId="2" borderId="1" xfId="1" applyNumberFormat="1" applyFont="1" applyFill="1" applyBorder="1" applyAlignment="1" applyProtection="1">
      <alignment wrapText="1"/>
    </xf>
    <xf numFmtId="166" fontId="6" fillId="2" borderId="1" xfId="1" applyNumberFormat="1" applyFont="1" applyFill="1" applyBorder="1" applyAlignment="1" applyProtection="1"/>
    <xf numFmtId="169" fontId="6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169" fontId="6" fillId="2" borderId="1" xfId="1" applyNumberFormat="1" applyFont="1" applyFill="1" applyBorder="1">
      <alignment wrapText="1"/>
    </xf>
    <xf numFmtId="174" fontId="6" fillId="2" borderId="1" xfId="1" applyNumberFormat="1" applyFont="1" applyFill="1" applyBorder="1" applyAlignment="1">
      <alignment horizontal="center" wrapText="1"/>
    </xf>
    <xf numFmtId="1" fontId="6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 wrapText="1"/>
    </xf>
    <xf numFmtId="0" fontId="6" fillId="0" borderId="1" xfId="1" applyFont="1" applyFill="1" applyBorder="1">
      <alignment wrapText="1"/>
    </xf>
    <xf numFmtId="0" fontId="6" fillId="0" borderId="1" xfId="1" applyFont="1" applyFill="1" applyBorder="1" applyAlignment="1">
      <alignment horizontal="center" wrapText="1"/>
    </xf>
    <xf numFmtId="174" fontId="6" fillId="0" borderId="1" xfId="1" applyNumberFormat="1" applyFont="1" applyFill="1" applyBorder="1">
      <alignment wrapText="1"/>
    </xf>
    <xf numFmtId="1" fontId="6" fillId="0" borderId="1" xfId="1" applyNumberFormat="1" applyFont="1" applyFill="1" applyBorder="1">
      <alignment wrapText="1"/>
    </xf>
    <xf numFmtId="0" fontId="6" fillId="0" borderId="1" xfId="1" applyFont="1" applyFill="1" applyBorder="1" applyAlignment="1">
      <alignment wrapText="1"/>
    </xf>
    <xf numFmtId="166" fontId="6" fillId="2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74" fontId="6" fillId="2" borderId="1" xfId="0" applyNumberFormat="1" applyFont="1" applyFill="1" applyBorder="1"/>
    <xf numFmtId="17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174" fontId="6" fillId="2" borderId="1" xfId="0" applyNumberFormat="1" applyFont="1" applyFill="1" applyBorder="1" applyAlignment="1">
      <alignment wrapText="1"/>
    </xf>
    <xf numFmtId="1" fontId="6" fillId="2" borderId="1" xfId="0" applyNumberFormat="1" applyFont="1" applyFill="1" applyBorder="1" applyAlignment="1">
      <alignment wrapText="1"/>
    </xf>
    <xf numFmtId="14" fontId="6" fillId="2" borderId="1" xfId="1" applyNumberFormat="1" applyFont="1" applyFill="1" applyBorder="1">
      <alignment wrapText="1"/>
    </xf>
    <xf numFmtId="14" fontId="6" fillId="2" borderId="1" xfId="0" applyNumberFormat="1" applyFont="1" applyFill="1" applyBorder="1" applyAlignment="1">
      <alignment wrapText="1"/>
    </xf>
    <xf numFmtId="1" fontId="6" fillId="2" borderId="1" xfId="1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horizontal="center" wrapText="1"/>
    </xf>
    <xf numFmtId="1" fontId="6" fillId="2" borderId="1" xfId="0" applyNumberFormat="1" applyFont="1" applyFill="1" applyBorder="1"/>
    <xf numFmtId="1" fontId="6" fillId="0" borderId="1" xfId="0" applyNumberFormat="1" applyFont="1" applyBorder="1"/>
    <xf numFmtId="169" fontId="6" fillId="2" borderId="1" xfId="1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2" fontId="6" fillId="0" borderId="1" xfId="1" applyNumberFormat="1" applyFont="1" applyFill="1" applyBorder="1">
      <alignment wrapText="1"/>
    </xf>
    <xf numFmtId="174" fontId="6" fillId="0" borderId="1" xfId="1" applyNumberFormat="1" applyFont="1" applyFill="1" applyBorder="1" applyAlignment="1">
      <alignment horizontal="center" wrapText="1"/>
    </xf>
    <xf numFmtId="2" fontId="6" fillId="2" borderId="1" xfId="1" applyNumberFormat="1" applyFont="1" applyFill="1" applyBorder="1" applyAlignment="1">
      <alignment horizontal="center" wrapText="1"/>
    </xf>
    <xf numFmtId="174" fontId="6" fillId="2" borderId="1" xfId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 wrapText="1"/>
    </xf>
    <xf numFmtId="2" fontId="3" fillId="2" borderId="1" xfId="1" applyNumberFormat="1" applyFont="1" applyFill="1" applyBorder="1" applyAlignment="1">
      <alignment horizontal="center" wrapText="1"/>
    </xf>
    <xf numFmtId="174" fontId="8" fillId="2" borderId="1" xfId="1" applyNumberFormat="1" applyFont="1" applyFill="1" applyBorder="1" applyAlignment="1">
      <alignment horizontal="center" wrapText="1"/>
    </xf>
    <xf numFmtId="174" fontId="8" fillId="2" borderId="1" xfId="1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1" fontId="6" fillId="3" borderId="1" xfId="1" applyNumberFormat="1" applyFont="1" applyFill="1" applyBorder="1" applyAlignment="1">
      <alignment horizontal="center" wrapText="1"/>
    </xf>
    <xf numFmtId="0" fontId="6" fillId="3" borderId="1" xfId="1" applyFont="1" applyFill="1" applyBorder="1">
      <alignment wrapText="1"/>
    </xf>
    <xf numFmtId="1" fontId="6" fillId="3" borderId="1" xfId="0" applyNumberFormat="1" applyFont="1" applyFill="1" applyBorder="1"/>
    <xf numFmtId="174" fontId="6" fillId="3" borderId="1" xfId="1" applyNumberFormat="1" applyFont="1" applyFill="1" applyBorder="1">
      <alignment wrapText="1"/>
    </xf>
    <xf numFmtId="1" fontId="6" fillId="3" borderId="1" xfId="1" applyNumberFormat="1" applyFont="1" applyFill="1" applyBorder="1">
      <alignment wrapText="1"/>
    </xf>
    <xf numFmtId="0" fontId="6" fillId="3" borderId="1" xfId="1" applyFont="1" applyFill="1" applyBorder="1" applyAlignment="1">
      <alignment horizontal="center" wrapText="1"/>
    </xf>
    <xf numFmtId="174" fontId="6" fillId="3" borderId="1" xfId="1" applyNumberFormat="1" applyFont="1" applyFill="1" applyBorder="1" applyAlignment="1">
      <alignment horizontal="center" wrapText="1"/>
    </xf>
    <xf numFmtId="0" fontId="0" fillId="3" borderId="0" xfId="0" applyFill="1"/>
    <xf numFmtId="2" fontId="6" fillId="3" borderId="1" xfId="1" applyNumberFormat="1" applyFont="1" applyFill="1" applyBorder="1" applyAlignment="1">
      <alignment horizontal="center" wrapText="1"/>
    </xf>
    <xf numFmtId="49" fontId="6" fillId="3" borderId="1" xfId="1" applyNumberFormat="1" applyFont="1" applyFill="1" applyBorder="1" applyAlignment="1" applyProtection="1"/>
    <xf numFmtId="1" fontId="6" fillId="3" borderId="1" xfId="1" applyNumberFormat="1" applyFont="1" applyFill="1" applyBorder="1" applyAlignment="1" applyProtection="1">
      <alignment horizontal="center"/>
    </xf>
    <xf numFmtId="174" fontId="6" fillId="3" borderId="1" xfId="1" applyNumberFormat="1" applyFont="1" applyFill="1" applyBorder="1" applyAlignment="1" applyProtection="1"/>
    <xf numFmtId="1" fontId="6" fillId="3" borderId="1" xfId="1" applyNumberFormat="1" applyFont="1" applyFill="1" applyBorder="1" applyAlignment="1"/>
    <xf numFmtId="49" fontId="6" fillId="3" borderId="1" xfId="1" applyNumberFormat="1" applyFont="1" applyFill="1" applyBorder="1" applyAlignment="1"/>
    <xf numFmtId="174" fontId="6" fillId="3" borderId="1" xfId="1" applyNumberFormat="1" applyFont="1" applyFill="1" applyBorder="1" applyAlignment="1">
      <alignment horizontal="center"/>
    </xf>
    <xf numFmtId="1" fontId="6" fillId="3" borderId="1" xfId="1" applyNumberFormat="1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 wrapText="1"/>
    </xf>
    <xf numFmtId="49" fontId="6" fillId="3" borderId="1" xfId="1" applyNumberFormat="1" applyFont="1" applyFill="1" applyBorder="1" applyAlignment="1" applyProtection="1">
      <alignment wrapText="1"/>
    </xf>
    <xf numFmtId="166" fontId="6" fillId="3" borderId="1" xfId="1" applyNumberFormat="1" applyFont="1" applyFill="1" applyBorder="1" applyAlignment="1" applyProtection="1"/>
    <xf numFmtId="169" fontId="6" fillId="3" borderId="1" xfId="1" applyNumberFormat="1" applyFont="1" applyFill="1" applyBorder="1" applyAlignment="1">
      <alignment horizontal="center"/>
    </xf>
    <xf numFmtId="166" fontId="6" fillId="3" borderId="1" xfId="1" applyNumberFormat="1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174" fontId="6" fillId="4" borderId="1" xfId="0" applyNumberFormat="1" applyFont="1" applyFill="1" applyBorder="1"/>
    <xf numFmtId="174" fontId="6" fillId="4" borderId="1" xfId="0" applyNumberFormat="1" applyFont="1" applyFill="1" applyBorder="1" applyAlignment="1">
      <alignment horizontal="center"/>
    </xf>
    <xf numFmtId="169" fontId="6" fillId="4" borderId="1" xfId="1" applyNumberFormat="1" applyFont="1" applyFill="1" applyBorder="1">
      <alignment wrapText="1"/>
    </xf>
    <xf numFmtId="1" fontId="6" fillId="4" borderId="1" xfId="1" applyNumberFormat="1" applyFont="1" applyFill="1" applyBorder="1" applyAlignment="1">
      <alignment horizontal="center" wrapText="1"/>
    </xf>
    <xf numFmtId="14" fontId="6" fillId="4" borderId="1" xfId="0" applyNumberFormat="1" applyFont="1" applyFill="1" applyBorder="1" applyAlignment="1">
      <alignment wrapText="1"/>
    </xf>
    <xf numFmtId="0" fontId="6" fillId="4" borderId="1" xfId="1" applyFont="1" applyFill="1" applyBorder="1">
      <alignment wrapText="1"/>
    </xf>
    <xf numFmtId="0" fontId="6" fillId="4" borderId="1" xfId="0" applyFont="1" applyFill="1" applyBorder="1" applyAlignment="1">
      <alignment wrapText="1"/>
    </xf>
    <xf numFmtId="1" fontId="6" fillId="4" borderId="1" xfId="0" applyNumberFormat="1" applyFont="1" applyFill="1" applyBorder="1"/>
    <xf numFmtId="174" fontId="6" fillId="4" borderId="1" xfId="0" applyNumberFormat="1" applyFont="1" applyFill="1" applyBorder="1" applyAlignment="1">
      <alignment wrapText="1"/>
    </xf>
    <xf numFmtId="174" fontId="6" fillId="4" borderId="1" xfId="1" applyNumberFormat="1" applyFont="1" applyFill="1" applyBorder="1">
      <alignment wrapText="1"/>
    </xf>
    <xf numFmtId="1" fontId="6" fillId="4" borderId="1" xfId="1" applyNumberFormat="1" applyFont="1" applyFill="1" applyBorder="1">
      <alignment wrapText="1"/>
    </xf>
    <xf numFmtId="169" fontId="6" fillId="4" borderId="1" xfId="1" applyNumberFormat="1" applyFont="1" applyFill="1" applyBorder="1" applyAlignment="1">
      <alignment horizontal="center" wrapText="1"/>
    </xf>
    <xf numFmtId="0" fontId="6" fillId="4" borderId="1" xfId="1" applyFont="1" applyFill="1" applyBorder="1" applyAlignment="1">
      <alignment horizontal="center" wrapText="1"/>
    </xf>
    <xf numFmtId="174" fontId="8" fillId="4" borderId="1" xfId="1" applyNumberFormat="1" applyFont="1" applyFill="1" applyBorder="1" applyAlignment="1">
      <alignment horizontal="center" wrapText="1"/>
    </xf>
    <xf numFmtId="174" fontId="6" fillId="4" borderId="1" xfId="1" applyNumberFormat="1" applyFont="1" applyFill="1" applyBorder="1" applyAlignment="1">
      <alignment horizontal="center" wrapText="1"/>
    </xf>
    <xf numFmtId="0" fontId="6" fillId="4" borderId="1" xfId="1" applyFont="1" applyFill="1" applyBorder="1" applyAlignment="1">
      <alignment wrapText="1"/>
    </xf>
    <xf numFmtId="2" fontId="6" fillId="4" borderId="1" xfId="1" applyNumberFormat="1" applyFont="1" applyFill="1" applyBorder="1" applyAlignment="1">
      <alignment horizontal="center" wrapText="1"/>
    </xf>
    <xf numFmtId="0" fontId="0" fillId="4" borderId="0" xfId="0" applyFill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174" fontId="6" fillId="5" borderId="1" xfId="0" applyNumberFormat="1" applyFont="1" applyFill="1" applyBorder="1"/>
    <xf numFmtId="174" fontId="6" fillId="5" borderId="1" xfId="0" applyNumberFormat="1" applyFont="1" applyFill="1" applyBorder="1" applyAlignment="1">
      <alignment horizontal="center"/>
    </xf>
    <xf numFmtId="169" fontId="6" fillId="5" borderId="1" xfId="1" applyNumberFormat="1" applyFont="1" applyFill="1" applyBorder="1">
      <alignment wrapText="1"/>
    </xf>
    <xf numFmtId="1" fontId="6" fillId="5" borderId="1" xfId="1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6" fillId="5" borderId="1" xfId="1" applyFont="1" applyFill="1" applyBorder="1">
      <alignment wrapText="1"/>
    </xf>
    <xf numFmtId="1" fontId="6" fillId="5" borderId="1" xfId="0" applyNumberFormat="1" applyFont="1" applyFill="1" applyBorder="1"/>
    <xf numFmtId="174" fontId="6" fillId="5" borderId="1" xfId="0" applyNumberFormat="1" applyFont="1" applyFill="1" applyBorder="1" applyAlignment="1">
      <alignment wrapText="1"/>
    </xf>
    <xf numFmtId="174" fontId="6" fillId="5" borderId="1" xfId="1" applyNumberFormat="1" applyFont="1" applyFill="1" applyBorder="1">
      <alignment wrapText="1"/>
    </xf>
    <xf numFmtId="1" fontId="6" fillId="5" borderId="1" xfId="1" applyNumberFormat="1" applyFont="1" applyFill="1" applyBorder="1">
      <alignment wrapText="1"/>
    </xf>
    <xf numFmtId="1" fontId="6" fillId="5" borderId="1" xfId="0" applyNumberFormat="1" applyFont="1" applyFill="1" applyBorder="1" applyAlignment="1">
      <alignment wrapText="1"/>
    </xf>
    <xf numFmtId="169" fontId="6" fillId="5" borderId="1" xfId="1" applyNumberFormat="1" applyFont="1" applyFill="1" applyBorder="1" applyAlignment="1">
      <alignment horizontal="center" wrapText="1"/>
    </xf>
    <xf numFmtId="0" fontId="6" fillId="5" borderId="1" xfId="1" applyFont="1" applyFill="1" applyBorder="1" applyAlignment="1">
      <alignment horizontal="center" wrapText="1"/>
    </xf>
    <xf numFmtId="174" fontId="6" fillId="5" borderId="1" xfId="1" applyNumberFormat="1" applyFont="1" applyFill="1" applyBorder="1" applyAlignment="1">
      <alignment horizontal="center" wrapText="1"/>
    </xf>
    <xf numFmtId="0" fontId="6" fillId="5" borderId="1" xfId="1" applyFont="1" applyFill="1" applyBorder="1" applyAlignment="1">
      <alignment wrapText="1"/>
    </xf>
    <xf numFmtId="2" fontId="3" fillId="5" borderId="1" xfId="1" applyNumberFormat="1" applyFont="1" applyFill="1" applyBorder="1" applyAlignment="1">
      <alignment horizontal="center" wrapText="1"/>
    </xf>
    <xf numFmtId="0" fontId="0" fillId="5" borderId="0" xfId="0" applyFill="1"/>
    <xf numFmtId="14" fontId="6" fillId="5" borderId="1" xfId="0" applyNumberFormat="1" applyFont="1" applyFill="1" applyBorder="1" applyAlignment="1">
      <alignment wrapText="1"/>
    </xf>
    <xf numFmtId="2" fontId="6" fillId="5" borderId="1" xfId="1" applyNumberFormat="1" applyFont="1" applyFill="1" applyBorder="1" applyAlignment="1">
      <alignment horizontal="center" wrapText="1"/>
    </xf>
    <xf numFmtId="1" fontId="8" fillId="5" borderId="1" xfId="1" applyNumberFormat="1" applyFont="1" applyFill="1" applyBorder="1" applyAlignment="1">
      <alignment horizontal="center" wrapText="1"/>
    </xf>
    <xf numFmtId="174" fontId="8" fillId="5" borderId="1" xfId="1" applyNumberFormat="1" applyFont="1" applyFill="1" applyBorder="1" applyAlignment="1">
      <alignment horizontal="center" wrapText="1"/>
    </xf>
    <xf numFmtId="14" fontId="6" fillId="5" borderId="1" xfId="1" applyNumberFormat="1" applyFont="1" applyFill="1" applyBorder="1" applyAlignment="1">
      <alignment wrapText="1"/>
    </xf>
    <xf numFmtId="49" fontId="6" fillId="5" borderId="1" xfId="1" applyNumberFormat="1" applyFont="1" applyFill="1" applyBorder="1" applyAlignment="1" applyProtection="1"/>
    <xf numFmtId="1" fontId="6" fillId="5" borderId="1" xfId="1" applyNumberFormat="1" applyFont="1" applyFill="1" applyBorder="1" applyAlignment="1" applyProtection="1">
      <alignment horizontal="center"/>
    </xf>
    <xf numFmtId="174" fontId="6" fillId="5" borderId="1" xfId="1" applyNumberFormat="1" applyFont="1" applyFill="1" applyBorder="1" applyAlignment="1" applyProtection="1"/>
    <xf numFmtId="1" fontId="6" fillId="5" borderId="1" xfId="1" applyNumberFormat="1" applyFont="1" applyFill="1" applyBorder="1" applyAlignment="1"/>
    <xf numFmtId="49" fontId="6" fillId="5" borderId="1" xfId="1" applyNumberFormat="1" applyFont="1" applyFill="1" applyBorder="1" applyAlignment="1"/>
    <xf numFmtId="174" fontId="6" fillId="5" borderId="1" xfId="1" applyNumberFormat="1" applyFont="1" applyFill="1" applyBorder="1" applyAlignment="1">
      <alignment horizontal="center"/>
    </xf>
    <xf numFmtId="1" fontId="6" fillId="5" borderId="1" xfId="1" applyNumberFormat="1" applyFont="1" applyFill="1" applyBorder="1" applyAlignment="1">
      <alignment horizontal="center"/>
    </xf>
    <xf numFmtId="49" fontId="6" fillId="5" borderId="1" xfId="1" applyNumberFormat="1" applyFont="1" applyFill="1" applyBorder="1" applyAlignment="1">
      <alignment horizontal="center" wrapText="1"/>
    </xf>
    <xf numFmtId="49" fontId="6" fillId="5" borderId="1" xfId="1" applyNumberFormat="1" applyFont="1" applyFill="1" applyBorder="1" applyAlignment="1" applyProtection="1">
      <alignment wrapText="1"/>
    </xf>
    <xf numFmtId="166" fontId="6" fillId="5" borderId="1" xfId="1" applyNumberFormat="1" applyFont="1" applyFill="1" applyBorder="1" applyAlignment="1" applyProtection="1"/>
    <xf numFmtId="169" fontId="6" fillId="5" borderId="1" xfId="1" applyNumberFormat="1" applyFont="1" applyFill="1" applyBorder="1" applyAlignment="1">
      <alignment horizontal="center"/>
    </xf>
    <xf numFmtId="0" fontId="6" fillId="5" borderId="1" xfId="1" applyFont="1" applyFill="1" applyBorder="1" applyAlignment="1">
      <alignment horizontal="center"/>
    </xf>
    <xf numFmtId="166" fontId="6" fillId="5" borderId="1" xfId="1" applyNumberFormat="1" applyFont="1" applyFill="1" applyBorder="1" applyAlignment="1">
      <alignment horizontal="center"/>
    </xf>
    <xf numFmtId="49" fontId="6" fillId="5" borderId="1" xfId="1" applyNumberFormat="1" applyFont="1" applyFill="1" applyBorder="1" applyAlignment="1">
      <alignment horizontal="center"/>
    </xf>
    <xf numFmtId="0" fontId="6" fillId="5" borderId="1" xfId="1" applyNumberFormat="1" applyFont="1" applyFill="1" applyBorder="1" applyAlignment="1">
      <alignment wrapText="1"/>
    </xf>
    <xf numFmtId="174" fontId="3" fillId="5" borderId="1" xfId="1" applyNumberFormat="1" applyFont="1" applyFill="1" applyBorder="1" applyAlignment="1">
      <alignment horizontal="center" wrapText="1"/>
    </xf>
    <xf numFmtId="1" fontId="8" fillId="4" borderId="1" xfId="1" applyNumberFormat="1" applyFont="1" applyFill="1" applyBorder="1" applyAlignment="1">
      <alignment horizontal="center" wrapText="1"/>
    </xf>
    <xf numFmtId="0" fontId="6" fillId="3" borderId="1" xfId="0" applyFont="1" applyFill="1" applyBorder="1"/>
    <xf numFmtId="174" fontId="6" fillId="3" borderId="1" xfId="0" applyNumberFormat="1" applyFont="1" applyFill="1" applyBorder="1"/>
    <xf numFmtId="174" fontId="6" fillId="3" borderId="1" xfId="0" applyNumberFormat="1" applyFont="1" applyFill="1" applyBorder="1" applyAlignment="1">
      <alignment horizontal="center"/>
    </xf>
    <xf numFmtId="169" fontId="6" fillId="3" borderId="1" xfId="1" applyNumberFormat="1" applyFont="1" applyFill="1" applyBorder="1">
      <alignment wrapText="1"/>
    </xf>
    <xf numFmtId="14" fontId="6" fillId="3" borderId="1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174" fontId="6" fillId="3" borderId="1" xfId="0" applyNumberFormat="1" applyFont="1" applyFill="1" applyBorder="1" applyAlignment="1">
      <alignment wrapText="1"/>
    </xf>
    <xf numFmtId="169" fontId="6" fillId="3" borderId="1" xfId="1" applyNumberFormat="1" applyFont="1" applyFill="1" applyBorder="1" applyAlignment="1">
      <alignment horizontal="center" wrapText="1"/>
    </xf>
    <xf numFmtId="0" fontId="6" fillId="3" borderId="1" xfId="1" applyFont="1" applyFill="1" applyBorder="1" applyAlignment="1">
      <alignment wrapText="1"/>
    </xf>
    <xf numFmtId="1" fontId="8" fillId="3" borderId="1" xfId="1" applyNumberFormat="1" applyFont="1" applyFill="1" applyBorder="1" applyAlignment="1">
      <alignment horizontal="center" wrapText="1"/>
    </xf>
    <xf numFmtId="174" fontId="8" fillId="3" borderId="1" xfId="1" applyNumberFormat="1" applyFont="1" applyFill="1" applyBorder="1" applyAlignment="1">
      <alignment horizontal="center" wrapText="1"/>
    </xf>
    <xf numFmtId="174" fontId="10" fillId="4" borderId="1" xfId="1" applyNumberFormat="1" applyFont="1" applyFill="1" applyBorder="1" applyAlignment="1">
      <alignment horizontal="center" wrapText="1"/>
    </xf>
    <xf numFmtId="14" fontId="6" fillId="4" borderId="1" xfId="1" applyNumberFormat="1" applyFont="1" applyFill="1" applyBorder="1" applyAlignment="1">
      <alignment wrapText="1"/>
    </xf>
    <xf numFmtId="0" fontId="7" fillId="0" borderId="2" xfId="1" quotePrefix="1" applyNumberFormat="1" applyFont="1" applyFill="1" applyBorder="1">
      <alignment wrapText="1"/>
    </xf>
    <xf numFmtId="0" fontId="7" fillId="0" borderId="2" xfId="1" applyNumberFormat="1" applyFont="1" applyFill="1" applyBorder="1" applyAlignment="1">
      <alignment horizontal="center" wrapText="1"/>
    </xf>
    <xf numFmtId="174" fontId="7" fillId="0" borderId="2" xfId="1" applyNumberFormat="1" applyFont="1" applyFill="1" applyBorder="1">
      <alignment wrapText="1"/>
    </xf>
    <xf numFmtId="0" fontId="7" fillId="0" borderId="2" xfId="1" applyFont="1" applyFill="1" applyBorder="1">
      <alignment wrapText="1"/>
    </xf>
    <xf numFmtId="174" fontId="7" fillId="0" borderId="2" xfId="1" applyNumberFormat="1" applyFont="1" applyFill="1" applyBorder="1" applyAlignment="1">
      <alignment horizontal="center" wrapText="1"/>
    </xf>
    <xf numFmtId="1" fontId="7" fillId="0" borderId="2" xfId="1" applyNumberFormat="1" applyFont="1" applyFill="1" applyBorder="1">
      <alignment wrapText="1"/>
    </xf>
    <xf numFmtId="1" fontId="7" fillId="0" borderId="2" xfId="1" applyNumberFormat="1" applyFont="1" applyFill="1" applyBorder="1" applyAlignment="1">
      <alignment horizontal="center" wrapText="1"/>
    </xf>
    <xf numFmtId="0" fontId="7" fillId="0" borderId="2" xfId="1" applyNumberFormat="1" applyFont="1" applyFill="1" applyBorder="1" applyAlignment="1">
      <alignment wrapText="1"/>
    </xf>
    <xf numFmtId="1" fontId="7" fillId="0" borderId="2" xfId="1" applyNumberFormat="1" applyFont="1" applyFill="1" applyBorder="1" applyAlignment="1">
      <alignment wrapText="1"/>
    </xf>
    <xf numFmtId="0" fontId="7" fillId="0" borderId="2" xfId="1" quotePrefix="1" applyNumberFormat="1" applyFont="1" applyFill="1" applyBorder="1" applyAlignment="1">
      <alignment wrapText="1"/>
    </xf>
    <xf numFmtId="174" fontId="7" fillId="0" borderId="2" xfId="1" applyNumberFormat="1" applyFont="1" applyFill="1" applyBorder="1" applyAlignment="1">
      <alignment wrapText="1"/>
    </xf>
    <xf numFmtId="0" fontId="7" fillId="0" borderId="2" xfId="1" applyNumberFormat="1" applyFont="1" applyFill="1" applyBorder="1">
      <alignment wrapText="1"/>
    </xf>
    <xf numFmtId="0" fontId="7" fillId="0" borderId="2" xfId="1" quotePrefix="1" applyNumberFormat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wrapText="1"/>
    </xf>
    <xf numFmtId="2" fontId="7" fillId="0" borderId="2" xfId="1" applyNumberFormat="1" applyFont="1" applyFill="1" applyBorder="1" applyAlignment="1">
      <alignment horizontal="center" wrapText="1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174" fontId="6" fillId="2" borderId="3" xfId="0" applyNumberFormat="1" applyFont="1" applyFill="1" applyBorder="1"/>
    <xf numFmtId="174" fontId="6" fillId="2" borderId="3" xfId="0" applyNumberFormat="1" applyFont="1" applyFill="1" applyBorder="1" applyAlignment="1">
      <alignment horizontal="center"/>
    </xf>
    <xf numFmtId="169" fontId="6" fillId="2" borderId="3" xfId="1" applyNumberFormat="1" applyFont="1" applyFill="1" applyBorder="1">
      <alignment wrapText="1"/>
    </xf>
    <xf numFmtId="1" fontId="6" fillId="2" borderId="3" xfId="1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0" fontId="6" fillId="2" borderId="3" xfId="1" applyFont="1" applyFill="1" applyBorder="1">
      <alignment wrapText="1"/>
    </xf>
    <xf numFmtId="1" fontId="6" fillId="2" borderId="3" xfId="0" applyNumberFormat="1" applyFont="1" applyFill="1" applyBorder="1"/>
    <xf numFmtId="174" fontId="6" fillId="2" borderId="3" xfId="0" applyNumberFormat="1" applyFont="1" applyFill="1" applyBorder="1" applyAlignment="1">
      <alignment wrapText="1"/>
    </xf>
    <xf numFmtId="174" fontId="6" fillId="2" borderId="3" xfId="1" applyNumberFormat="1" applyFont="1" applyFill="1" applyBorder="1">
      <alignment wrapText="1"/>
    </xf>
    <xf numFmtId="1" fontId="6" fillId="2" borderId="3" xfId="1" applyNumberFormat="1" applyFont="1" applyFill="1" applyBorder="1">
      <alignment wrapText="1"/>
    </xf>
    <xf numFmtId="1" fontId="6" fillId="2" borderId="3" xfId="0" applyNumberFormat="1" applyFont="1" applyFill="1" applyBorder="1" applyAlignment="1">
      <alignment wrapText="1"/>
    </xf>
    <xf numFmtId="169" fontId="6" fillId="2" borderId="3" xfId="1" applyNumberFormat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174" fontId="8" fillId="2" borderId="3" xfId="1" applyNumberFormat="1" applyFont="1" applyFill="1" applyBorder="1" applyAlignment="1">
      <alignment horizontal="center" wrapText="1"/>
    </xf>
    <xf numFmtId="174" fontId="6" fillId="2" borderId="3" xfId="1" applyNumberFormat="1" applyFont="1" applyFill="1" applyBorder="1" applyAlignment="1">
      <alignment horizontal="center" wrapText="1"/>
    </xf>
    <xf numFmtId="0" fontId="6" fillId="2" borderId="3" xfId="1" applyFont="1" applyFill="1" applyBorder="1" applyAlignment="1">
      <alignment wrapText="1"/>
    </xf>
    <xf numFmtId="2" fontId="6" fillId="2" borderId="3" xfId="1" applyNumberFormat="1" applyFont="1" applyFill="1" applyBorder="1" applyAlignment="1">
      <alignment horizontal="center" wrapText="1"/>
    </xf>
    <xf numFmtId="0" fontId="6" fillId="2" borderId="1" xfId="1" applyNumberFormat="1" applyFont="1" applyFill="1" applyBorder="1">
      <alignment wrapText="1"/>
    </xf>
    <xf numFmtId="0" fontId="6" fillId="2" borderId="1" xfId="1" applyNumberFormat="1" applyFont="1" applyFill="1" applyBorder="1" applyAlignment="1">
      <alignment horizontal="center" wrapText="1"/>
    </xf>
    <xf numFmtId="14" fontId="11" fillId="2" borderId="1" xfId="0" applyNumberFormat="1" applyFont="1" applyFill="1" applyBorder="1"/>
    <xf numFmtId="0" fontId="11" fillId="2" borderId="1" xfId="0" applyFont="1" applyFill="1" applyBorder="1"/>
    <xf numFmtId="14" fontId="11" fillId="2" borderId="1" xfId="0" applyNumberFormat="1" applyFont="1" applyFill="1" applyBorder="1" applyAlignment="1">
      <alignment horizontal="center"/>
    </xf>
    <xf numFmtId="174" fontId="6" fillId="2" borderId="1" xfId="1" applyNumberFormat="1" applyFont="1" applyFill="1" applyBorder="1" applyAlignment="1">
      <alignment wrapText="1"/>
    </xf>
    <xf numFmtId="14" fontId="0" fillId="2" borderId="1" xfId="0" applyNumberFormat="1" applyFill="1" applyBorder="1"/>
    <xf numFmtId="0" fontId="6" fillId="2" borderId="1" xfId="1" quotePrefix="1" applyNumberFormat="1" applyFont="1" applyFill="1" applyBorder="1" applyAlignment="1">
      <alignment horizontal="center" wrapText="1"/>
    </xf>
    <xf numFmtId="0" fontId="6" fillId="2" borderId="1" xfId="1" applyNumberFormat="1" applyFont="1" applyFill="1" applyBorder="1" applyAlignment="1">
      <alignment wrapText="1"/>
    </xf>
    <xf numFmtId="0" fontId="6" fillId="3" borderId="1" xfId="1" applyFont="1" applyFill="1" applyBorder="1" applyAlignment="1">
      <alignment horizontal="center"/>
    </xf>
    <xf numFmtId="0" fontId="11" fillId="2" borderId="0" xfId="0" applyFont="1" applyFill="1"/>
    <xf numFmtId="0" fontId="0" fillId="0" borderId="1" xfId="0" applyBorder="1"/>
    <xf numFmtId="174" fontId="12" fillId="2" borderId="1" xfId="1" applyNumberFormat="1" applyFont="1" applyFill="1" applyBorder="1" applyAlignment="1">
      <alignment horizontal="center" wrapText="1"/>
    </xf>
    <xf numFmtId="174" fontId="12" fillId="4" borderId="1" xfId="1" applyNumberFormat="1" applyFont="1" applyFill="1" applyBorder="1" applyAlignment="1">
      <alignment horizontal="center" wrapText="1"/>
    </xf>
    <xf numFmtId="1" fontId="13" fillId="5" borderId="1" xfId="0" applyNumberFormat="1" applyFont="1" applyFill="1" applyBorder="1" applyAlignment="1">
      <alignment horizontal="center"/>
    </xf>
    <xf numFmtId="174" fontId="12" fillId="2" borderId="3" xfId="1" applyNumberFormat="1" applyFont="1" applyFill="1" applyBorder="1" applyAlignment="1">
      <alignment horizontal="center" wrapText="1"/>
    </xf>
    <xf numFmtId="174" fontId="12" fillId="3" borderId="1" xfId="1" applyNumberFormat="1" applyFont="1" applyFill="1" applyBorder="1" applyAlignment="1">
      <alignment horizontal="center" wrapText="1"/>
    </xf>
    <xf numFmtId="0" fontId="14" fillId="0" borderId="0" xfId="0" applyFont="1"/>
    <xf numFmtId="0" fontId="15" fillId="6" borderId="0" xfId="2"/>
  </cellXfs>
  <cellStyles count="3">
    <cellStyle name="Neutral" xfId="2" builtinId="28"/>
    <cellStyle name="Normal" xfId="0" builtinId="0"/>
    <cellStyle name="Normal_Workbook3.xls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125"/>
  <sheetViews>
    <sheetView zoomScale="75" zoomScaleNormal="100" workbookViewId="0">
      <selection sqref="A1:IV65536"/>
    </sheetView>
  </sheetViews>
  <sheetFormatPr defaultRowHeight="12.75"/>
  <cols>
    <col min="1" max="1" width="12.28515625" style="21" customWidth="1"/>
    <col min="2" max="2" width="10" style="21" customWidth="1"/>
    <col min="3" max="5" width="4.7109375" style="22" customWidth="1"/>
    <col min="6" max="6" width="10.85546875" style="23" customWidth="1"/>
    <col min="7" max="7" width="10" style="21" customWidth="1"/>
    <col min="8" max="8" width="6.85546875" style="21" customWidth="1"/>
    <col min="9" max="9" width="11.28515625" style="42" customWidth="1"/>
    <col min="10" max="10" width="4.7109375" style="24" customWidth="1"/>
    <col min="11" max="11" width="7.85546875" style="36" customWidth="1"/>
    <col min="12" max="13" width="10.7109375" style="21" customWidth="1"/>
    <col min="14" max="14" width="5.42578125" style="36" customWidth="1"/>
    <col min="15" max="19" width="6" style="36" customWidth="1"/>
    <col min="20" max="20" width="11.85546875" style="25" customWidth="1"/>
    <col min="21" max="21" width="5.140625" style="38" customWidth="1"/>
    <col min="22" max="27" width="4.85546875" style="38" customWidth="1"/>
    <col min="28" max="29" width="10.7109375" style="23" customWidth="1"/>
    <col min="30" max="30" width="6.140625" style="23" customWidth="1"/>
    <col min="31" max="31" width="9.140625" style="24"/>
    <col min="32" max="32" width="6.42578125" style="24" customWidth="1"/>
    <col min="33" max="33" width="7.42578125" style="23" customWidth="1"/>
    <col min="34" max="34" width="5.5703125" style="36" customWidth="1"/>
    <col min="35" max="35" width="9.140625" style="25"/>
    <col min="36" max="36" width="11.140625" style="23" customWidth="1"/>
    <col min="37" max="37" width="6.7109375" style="24" customWidth="1"/>
    <col min="38" max="39" width="6.42578125" style="24" customWidth="1"/>
    <col min="40" max="40" width="8.5703125" style="21" customWidth="1"/>
    <col min="41" max="41" width="7.5703125" style="21" customWidth="1"/>
    <col min="42" max="43" width="10.7109375" style="21" customWidth="1"/>
    <col min="44" max="47" width="10.7109375" style="22" customWidth="1"/>
    <col min="48" max="48" width="5.28515625" style="22" customWidth="1"/>
    <col min="49" max="49" width="7.140625" style="40" customWidth="1"/>
    <col min="50" max="50" width="5.5703125" style="22" customWidth="1"/>
    <col min="51" max="51" width="6.5703125" style="22" customWidth="1"/>
    <col min="52" max="52" width="4.85546875" style="22" customWidth="1"/>
    <col min="53" max="53" width="5.28515625" style="22" customWidth="1"/>
    <col min="54" max="54" width="5.85546875" style="22" customWidth="1"/>
    <col min="55" max="55" width="6.42578125" style="22" customWidth="1"/>
    <col min="56" max="56" width="8.42578125" style="22" customWidth="1"/>
    <col min="57" max="57" width="8.28515625" style="22" customWidth="1"/>
    <col min="58" max="58" width="8.7109375" style="42" customWidth="1"/>
    <col min="59" max="60" width="7.85546875" style="42" customWidth="1"/>
    <col min="61" max="61" width="18" style="21" customWidth="1"/>
    <col min="62" max="62" width="4.42578125" style="36" customWidth="1"/>
    <col min="63" max="63" width="4.85546875" style="36" customWidth="1"/>
    <col min="64" max="64" width="3.140625" style="36" customWidth="1"/>
    <col min="65" max="65" width="8.42578125" style="42" customWidth="1"/>
    <col min="66" max="68" width="5.42578125" style="36" customWidth="1"/>
    <col min="69" max="69" width="3.42578125" style="36" customWidth="1"/>
    <col min="70" max="70" width="8.85546875" style="42" customWidth="1"/>
    <col min="71" max="72" width="6.140625" style="24" customWidth="1"/>
    <col min="73" max="73" width="4.28515625" style="36" customWidth="1"/>
    <col min="74" max="75" width="6.140625" style="36" customWidth="1"/>
    <col min="76" max="76" width="8.85546875" style="42" customWidth="1"/>
    <col min="77" max="79" width="5" style="36" customWidth="1"/>
    <col min="80" max="80" width="8.42578125" style="42" customWidth="1"/>
    <col min="81" max="82" width="5" style="36" customWidth="1"/>
    <col min="83" max="83" width="8.5703125" style="21" customWidth="1"/>
    <col min="84" max="84" width="18.28515625" style="25" customWidth="1"/>
    <col min="85" max="85" width="5.140625" style="36" customWidth="1"/>
    <col min="86" max="86" width="6.7109375" style="46" customWidth="1"/>
    <col min="87" max="87" width="22.140625" style="25" customWidth="1"/>
    <col min="88" max="88" width="18.85546875" style="25" customWidth="1"/>
    <col min="89" max="89" width="10.7109375" style="22" customWidth="1"/>
    <col min="90" max="90" width="7.5703125" style="25" customWidth="1"/>
    <col min="91" max="91" width="8" style="22" customWidth="1"/>
    <col min="92" max="92" width="10.85546875" style="42" customWidth="1"/>
    <col min="93" max="93" width="5.7109375" style="36" customWidth="1"/>
    <col min="94" max="94" width="7.140625" style="42" customWidth="1"/>
    <col min="95" max="95" width="6.5703125" style="42" customWidth="1"/>
    <col min="96" max="96" width="16.42578125" style="25" customWidth="1"/>
  </cols>
  <sheetData>
    <row r="1" spans="1:96" ht="40.5" customHeight="1">
      <c r="A1" s="149" t="s">
        <v>257</v>
      </c>
      <c r="B1" s="149" t="s">
        <v>322</v>
      </c>
      <c r="C1" s="150" t="s">
        <v>352</v>
      </c>
      <c r="D1" s="150" t="s">
        <v>535</v>
      </c>
      <c r="E1" s="150" t="s">
        <v>489</v>
      </c>
      <c r="F1" s="151" t="s">
        <v>355</v>
      </c>
      <c r="G1" s="152" t="s">
        <v>353</v>
      </c>
      <c r="H1" s="152" t="s">
        <v>354</v>
      </c>
      <c r="I1" s="153" t="s">
        <v>338</v>
      </c>
      <c r="J1" s="154" t="s">
        <v>356</v>
      </c>
      <c r="K1" s="155" t="s">
        <v>337</v>
      </c>
      <c r="L1" s="152" t="s">
        <v>162</v>
      </c>
      <c r="M1" s="149" t="s">
        <v>163</v>
      </c>
      <c r="N1" s="155" t="s">
        <v>419</v>
      </c>
      <c r="O1" s="155" t="s">
        <v>107</v>
      </c>
      <c r="P1" s="155" t="s">
        <v>510</v>
      </c>
      <c r="Q1" s="155" t="s">
        <v>403</v>
      </c>
      <c r="R1" s="155" t="s">
        <v>504</v>
      </c>
      <c r="S1" s="155" t="s">
        <v>511</v>
      </c>
      <c r="T1" s="156" t="s">
        <v>359</v>
      </c>
      <c r="U1" s="157" t="s">
        <v>418</v>
      </c>
      <c r="V1" s="157" t="s">
        <v>402</v>
      </c>
      <c r="W1" s="157" t="s">
        <v>507</v>
      </c>
      <c r="X1" s="157" t="s">
        <v>506</v>
      </c>
      <c r="Y1" s="157" t="s">
        <v>508</v>
      </c>
      <c r="Z1" s="157" t="s">
        <v>504</v>
      </c>
      <c r="AA1" s="157" t="s">
        <v>505</v>
      </c>
      <c r="AB1" s="151" t="s">
        <v>382</v>
      </c>
      <c r="AC1" s="151" t="s">
        <v>386</v>
      </c>
      <c r="AD1" s="151" t="s">
        <v>496</v>
      </c>
      <c r="AE1" s="154" t="s">
        <v>499</v>
      </c>
      <c r="AF1" s="154" t="s">
        <v>395</v>
      </c>
      <c r="AG1" s="151" t="s">
        <v>394</v>
      </c>
      <c r="AH1" s="155" t="s">
        <v>502</v>
      </c>
      <c r="AI1" s="158" t="s">
        <v>164</v>
      </c>
      <c r="AJ1" s="159" t="s">
        <v>377</v>
      </c>
      <c r="AK1" s="157" t="s">
        <v>498</v>
      </c>
      <c r="AL1" s="157" t="s">
        <v>497</v>
      </c>
      <c r="AM1" s="157" t="s">
        <v>538</v>
      </c>
      <c r="AN1" s="160" t="s">
        <v>421</v>
      </c>
      <c r="AO1" s="160" t="s">
        <v>540</v>
      </c>
      <c r="AP1" s="149" t="s">
        <v>130</v>
      </c>
      <c r="AQ1" s="149" t="s">
        <v>232</v>
      </c>
      <c r="AR1" s="161" t="s">
        <v>194</v>
      </c>
      <c r="AS1" s="150" t="s">
        <v>94</v>
      </c>
      <c r="AT1" s="150" t="s">
        <v>95</v>
      </c>
      <c r="AU1" s="150" t="s">
        <v>96</v>
      </c>
      <c r="AV1" s="162" t="s">
        <v>368</v>
      </c>
      <c r="AW1" s="162" t="s">
        <v>380</v>
      </c>
      <c r="AX1" s="162" t="s">
        <v>369</v>
      </c>
      <c r="AY1" s="162" t="s">
        <v>370</v>
      </c>
      <c r="AZ1" s="162" t="s">
        <v>381</v>
      </c>
      <c r="BA1" s="162" t="s">
        <v>371</v>
      </c>
      <c r="BB1" s="162" t="s">
        <v>420</v>
      </c>
      <c r="BC1" s="162" t="s">
        <v>358</v>
      </c>
      <c r="BD1" s="162" t="s">
        <v>414</v>
      </c>
      <c r="BE1" s="162" t="s">
        <v>101</v>
      </c>
      <c r="BF1" s="153" t="s">
        <v>413</v>
      </c>
      <c r="BG1" s="153" t="s">
        <v>528</v>
      </c>
      <c r="BH1" s="153" t="s">
        <v>541</v>
      </c>
      <c r="BI1" s="152" t="s">
        <v>180</v>
      </c>
      <c r="BJ1" s="155" t="s">
        <v>376</v>
      </c>
      <c r="BK1" s="155" t="s">
        <v>525</v>
      </c>
      <c r="BL1" s="155" t="s">
        <v>396</v>
      </c>
      <c r="BM1" s="153" t="s">
        <v>397</v>
      </c>
      <c r="BN1" s="155" t="s">
        <v>517</v>
      </c>
      <c r="BO1" s="155" t="s">
        <v>522</v>
      </c>
      <c r="BP1" s="155" t="s">
        <v>523</v>
      </c>
      <c r="BQ1" s="155" t="s">
        <v>398</v>
      </c>
      <c r="BR1" s="153" t="s">
        <v>397</v>
      </c>
      <c r="BS1" s="154" t="s">
        <v>518</v>
      </c>
      <c r="BT1" s="154" t="s">
        <v>524</v>
      </c>
      <c r="BU1" s="155" t="s">
        <v>513</v>
      </c>
      <c r="BV1" s="155" t="s">
        <v>520</v>
      </c>
      <c r="BW1" s="155" t="s">
        <v>521</v>
      </c>
      <c r="BX1" s="153" t="s">
        <v>397</v>
      </c>
      <c r="BY1" s="155" t="s">
        <v>512</v>
      </c>
      <c r="BZ1" s="155" t="s">
        <v>526</v>
      </c>
      <c r="CA1" s="155" t="s">
        <v>532</v>
      </c>
      <c r="CB1" s="153" t="s">
        <v>533</v>
      </c>
      <c r="CC1" s="155" t="s">
        <v>530</v>
      </c>
      <c r="CD1" s="155" t="s">
        <v>531</v>
      </c>
      <c r="CE1" s="152" t="s">
        <v>97</v>
      </c>
      <c r="CF1" s="163" t="s">
        <v>288</v>
      </c>
      <c r="CG1" s="155" t="s">
        <v>503</v>
      </c>
      <c r="CH1" s="164" t="s">
        <v>357</v>
      </c>
      <c r="CI1" s="163" t="s">
        <v>98</v>
      </c>
      <c r="CJ1" s="163" t="s">
        <v>99</v>
      </c>
      <c r="CK1" s="162" t="s">
        <v>373</v>
      </c>
      <c r="CL1" s="163" t="s">
        <v>415</v>
      </c>
      <c r="CM1" s="162" t="s">
        <v>422</v>
      </c>
      <c r="CN1" s="153" t="s">
        <v>365</v>
      </c>
      <c r="CO1" s="155" t="s">
        <v>529</v>
      </c>
      <c r="CP1" s="153" t="s">
        <v>501</v>
      </c>
      <c r="CQ1" s="153" t="s">
        <v>515</v>
      </c>
      <c r="CR1" s="163" t="s">
        <v>416</v>
      </c>
    </row>
    <row r="2" spans="1:96" s="195" customFormat="1" ht="25.5">
      <c r="A2" s="184" t="s">
        <v>539</v>
      </c>
      <c r="B2" s="184" t="s">
        <v>123</v>
      </c>
      <c r="C2" s="185">
        <v>0</v>
      </c>
      <c r="D2" s="185">
        <v>0</v>
      </c>
      <c r="E2" s="185">
        <v>8700</v>
      </c>
      <c r="F2" s="186">
        <v>13827</v>
      </c>
      <c r="G2" s="187">
        <v>959655</v>
      </c>
      <c r="H2" s="2" t="s">
        <v>121</v>
      </c>
      <c r="I2" s="188">
        <v>37826</v>
      </c>
      <c r="J2" s="11">
        <f t="shared" ref="J2:J33" si="0">(I2-F2)/365.25</f>
        <v>65.705681040383297</v>
      </c>
      <c r="K2" s="35">
        <v>1</v>
      </c>
      <c r="L2" s="2" t="s">
        <v>49</v>
      </c>
      <c r="M2" s="2" t="s">
        <v>122</v>
      </c>
      <c r="N2" s="35" t="s">
        <v>403</v>
      </c>
      <c r="O2" s="35">
        <v>0</v>
      </c>
      <c r="P2" s="35">
        <v>0</v>
      </c>
      <c r="Q2" s="35">
        <v>1</v>
      </c>
      <c r="R2" s="35">
        <v>0</v>
      </c>
      <c r="S2" s="35">
        <v>0</v>
      </c>
      <c r="T2" s="30" t="s">
        <v>475</v>
      </c>
      <c r="U2" s="37" t="s">
        <v>402</v>
      </c>
      <c r="V2" s="37">
        <v>1</v>
      </c>
      <c r="W2" s="37">
        <v>0</v>
      </c>
      <c r="X2" s="37">
        <v>0</v>
      </c>
      <c r="Y2" s="37">
        <v>0</v>
      </c>
      <c r="Z2" s="37">
        <v>0</v>
      </c>
      <c r="AA2" s="37">
        <v>0</v>
      </c>
      <c r="AB2" s="10">
        <v>37358</v>
      </c>
      <c r="AC2" s="10">
        <v>37764</v>
      </c>
      <c r="AD2" s="11">
        <f t="shared" ref="AD2:AD33" si="1">(AC2-AB2)/365.25*12</f>
        <v>13.338809034907598</v>
      </c>
      <c r="AE2" s="11">
        <v>0</v>
      </c>
      <c r="AF2" s="11">
        <v>0</v>
      </c>
      <c r="AG2" s="10" t="s">
        <v>387</v>
      </c>
      <c r="AH2" s="35">
        <v>1</v>
      </c>
      <c r="AI2" s="192" t="s">
        <v>315</v>
      </c>
      <c r="AJ2" s="189">
        <v>37764</v>
      </c>
      <c r="AK2" s="11">
        <f t="shared" ref="AK2:AK33" si="2">(I2-AJ2)*12/365.25</f>
        <v>2.0369609856262834</v>
      </c>
      <c r="AL2" s="11">
        <f t="shared" ref="AL2:AL33" si="3">(AJ2-AC2)/365.25*12</f>
        <v>0</v>
      </c>
      <c r="AM2" s="11">
        <f t="shared" ref="AM2:AM33" si="4">(I2-AB2)*12/365.25</f>
        <v>15.375770020533881</v>
      </c>
      <c r="AN2" s="184">
        <v>1</v>
      </c>
      <c r="AO2" s="184">
        <v>1</v>
      </c>
      <c r="AP2" s="190">
        <v>37834</v>
      </c>
      <c r="AQ2" s="190">
        <v>37849</v>
      </c>
      <c r="AR2" s="191">
        <f t="shared" ref="AR2:AR33" si="5">(AQ2-AP2)/7</f>
        <v>2.1428571428571428</v>
      </c>
      <c r="AS2" s="185">
        <v>10</v>
      </c>
      <c r="AT2" s="185">
        <v>5</v>
      </c>
      <c r="AU2" s="185">
        <f t="shared" ref="AU2:AU23" si="6">AS2*AT2</f>
        <v>50</v>
      </c>
      <c r="AV2" s="20">
        <v>0</v>
      </c>
      <c r="AW2" s="20">
        <v>0</v>
      </c>
      <c r="AX2" s="20">
        <v>1</v>
      </c>
      <c r="AY2" s="20">
        <v>0</v>
      </c>
      <c r="AZ2" s="20">
        <v>0</v>
      </c>
      <c r="BA2" s="20">
        <v>0</v>
      </c>
      <c r="BB2" s="20">
        <v>0</v>
      </c>
      <c r="BC2" s="20">
        <v>1</v>
      </c>
      <c r="BD2" s="20">
        <v>0</v>
      </c>
      <c r="BE2" s="20"/>
      <c r="BF2" s="48">
        <v>38189</v>
      </c>
      <c r="BG2" s="196">
        <v>38199</v>
      </c>
      <c r="BH2" s="196" t="s">
        <v>537</v>
      </c>
      <c r="BI2" s="2"/>
      <c r="BJ2" s="35">
        <f t="shared" ref="BJ2:BJ33" si="7">(BG2-I2)/365.25*12</f>
        <v>12.254620123203285</v>
      </c>
      <c r="BK2" s="35">
        <f t="shared" ref="BK2:BK33" si="8">BJ2*365.25/12</f>
        <v>373</v>
      </c>
      <c r="BL2" s="35">
        <v>0</v>
      </c>
      <c r="BM2" s="17"/>
      <c r="BN2" s="35"/>
      <c r="BO2" s="35">
        <f>(BF2-I2)/365.25*12</f>
        <v>11.926078028747433</v>
      </c>
      <c r="BP2" s="35">
        <f t="shared" ref="BP2:BP33" si="9">BO2*365.25/12</f>
        <v>363</v>
      </c>
      <c r="BQ2" s="35">
        <v>0</v>
      </c>
      <c r="BR2" s="17"/>
      <c r="BS2" s="11">
        <f t="shared" ref="BS2:BS10" si="10">(BF2-I2)/365.25*12</f>
        <v>11.926078028747433</v>
      </c>
      <c r="BT2" s="35">
        <f t="shared" ref="BT2:BT49" si="11">BS2*365.25/12</f>
        <v>363</v>
      </c>
      <c r="BU2" s="35">
        <f t="shared" ref="BU2:BU11" si="12">BQ2+BL2</f>
        <v>0</v>
      </c>
      <c r="BV2" s="35">
        <v>1</v>
      </c>
      <c r="BW2" s="35">
        <v>1</v>
      </c>
      <c r="BX2" s="17"/>
      <c r="BY2" s="35">
        <f>(BF2-I2)/365.25*12</f>
        <v>11.926078028747433</v>
      </c>
      <c r="BZ2" s="35">
        <f t="shared" ref="BZ2:BZ49" si="13">BY2*365.25/12</f>
        <v>363</v>
      </c>
      <c r="CA2" s="35">
        <f>BU2</f>
        <v>0</v>
      </c>
      <c r="CB2" s="17"/>
      <c r="CC2" s="35">
        <f t="shared" ref="CC2:CD5" si="14">BY2</f>
        <v>11.926078028747433</v>
      </c>
      <c r="CD2" s="35">
        <f t="shared" si="14"/>
        <v>363</v>
      </c>
      <c r="CE2" s="2"/>
      <c r="CF2" s="19"/>
      <c r="CG2" s="35">
        <v>4</v>
      </c>
      <c r="CH2" s="43">
        <v>79.900000000000006</v>
      </c>
      <c r="CI2" s="19"/>
      <c r="CJ2" s="19"/>
      <c r="CK2" s="20">
        <v>0</v>
      </c>
      <c r="CL2" s="19"/>
      <c r="CM2" s="20" t="s">
        <v>408</v>
      </c>
      <c r="CN2" s="17"/>
      <c r="CO2" s="35">
        <v>0</v>
      </c>
      <c r="CP2" s="17"/>
      <c r="CQ2" s="17" t="s">
        <v>408</v>
      </c>
      <c r="CR2" s="19"/>
    </row>
    <row r="3" spans="1:96" s="194" customFormat="1" ht="25.5">
      <c r="A3" s="165" t="s">
        <v>424</v>
      </c>
      <c r="B3" s="165" t="s">
        <v>453</v>
      </c>
      <c r="C3" s="166">
        <v>1</v>
      </c>
      <c r="D3" s="166">
        <v>1</v>
      </c>
      <c r="E3" s="166">
        <v>8700</v>
      </c>
      <c r="F3" s="167">
        <v>12561</v>
      </c>
      <c r="G3" s="165">
        <v>1087464</v>
      </c>
      <c r="H3" s="166" t="s">
        <v>121</v>
      </c>
      <c r="I3" s="168">
        <v>35472</v>
      </c>
      <c r="J3" s="169">
        <f t="shared" si="0"/>
        <v>62.726899383983572</v>
      </c>
      <c r="K3" s="170">
        <v>1</v>
      </c>
      <c r="L3" s="171" t="s">
        <v>49</v>
      </c>
      <c r="M3" s="172" t="s">
        <v>122</v>
      </c>
      <c r="N3" s="170" t="s">
        <v>403</v>
      </c>
      <c r="O3" s="170">
        <v>0</v>
      </c>
      <c r="P3" s="170">
        <v>0</v>
      </c>
      <c r="Q3" s="170">
        <v>1</v>
      </c>
      <c r="R3" s="170">
        <v>0</v>
      </c>
      <c r="S3" s="170">
        <v>0</v>
      </c>
      <c r="T3" s="171" t="s">
        <v>475</v>
      </c>
      <c r="U3" s="173" t="s">
        <v>402</v>
      </c>
      <c r="V3" s="173">
        <v>1</v>
      </c>
      <c r="W3" s="173">
        <v>0</v>
      </c>
      <c r="X3" s="173">
        <v>0</v>
      </c>
      <c r="Y3" s="173">
        <v>0</v>
      </c>
      <c r="Z3" s="173">
        <v>0</v>
      </c>
      <c r="AA3" s="173">
        <v>0</v>
      </c>
      <c r="AB3" s="174">
        <v>33296</v>
      </c>
      <c r="AC3" s="175">
        <v>34814</v>
      </c>
      <c r="AD3" s="176">
        <f t="shared" si="1"/>
        <v>49.872689938398352</v>
      </c>
      <c r="AE3" s="176">
        <v>1</v>
      </c>
      <c r="AF3" s="176">
        <v>0</v>
      </c>
      <c r="AG3" s="175" t="s">
        <v>387</v>
      </c>
      <c r="AH3" s="170">
        <v>1</v>
      </c>
      <c r="AI3" s="177" t="s">
        <v>327</v>
      </c>
      <c r="AJ3" s="33">
        <v>34814</v>
      </c>
      <c r="AK3" s="176">
        <f t="shared" si="2"/>
        <v>21.618069815195071</v>
      </c>
      <c r="AL3" s="176">
        <f t="shared" si="3"/>
        <v>0</v>
      </c>
      <c r="AM3" s="176">
        <f t="shared" si="4"/>
        <v>71.490759753593423</v>
      </c>
      <c r="AN3" s="172">
        <v>2</v>
      </c>
      <c r="AO3" s="172">
        <v>0</v>
      </c>
      <c r="AP3" s="167">
        <v>35487</v>
      </c>
      <c r="AQ3" s="167">
        <v>35501</v>
      </c>
      <c r="AR3" s="178">
        <f t="shared" si="5"/>
        <v>2</v>
      </c>
      <c r="AS3" s="179">
        <v>10</v>
      </c>
      <c r="AT3" s="179">
        <v>5</v>
      </c>
      <c r="AU3" s="179">
        <f t="shared" si="6"/>
        <v>50</v>
      </c>
      <c r="AV3" s="179">
        <v>1</v>
      </c>
      <c r="AW3" s="166">
        <v>0</v>
      </c>
      <c r="AX3" s="179">
        <v>0</v>
      </c>
      <c r="AY3" s="179">
        <v>0</v>
      </c>
      <c r="AZ3" s="179">
        <v>0</v>
      </c>
      <c r="BA3" s="179">
        <v>0</v>
      </c>
      <c r="BB3" s="179">
        <v>0</v>
      </c>
      <c r="BC3" s="179">
        <v>1</v>
      </c>
      <c r="BD3" s="179">
        <v>0</v>
      </c>
      <c r="BE3" s="168"/>
      <c r="BF3" s="180">
        <v>38139</v>
      </c>
      <c r="BG3" s="196">
        <v>38199</v>
      </c>
      <c r="BH3" s="199" t="s">
        <v>537</v>
      </c>
      <c r="BI3" s="172"/>
      <c r="BJ3" s="170">
        <f t="shared" si="7"/>
        <v>89.593429158110894</v>
      </c>
      <c r="BK3" s="170">
        <f t="shared" si="8"/>
        <v>2727.0000000000005</v>
      </c>
      <c r="BL3" s="170">
        <v>0</v>
      </c>
      <c r="BM3" s="181"/>
      <c r="BN3" s="170"/>
      <c r="BO3" s="170">
        <f>(BF3-I3)/365.25*12</f>
        <v>87.622176591375762</v>
      </c>
      <c r="BP3" s="170">
        <f t="shared" si="9"/>
        <v>2666.9999999999995</v>
      </c>
      <c r="BQ3" s="170">
        <v>0</v>
      </c>
      <c r="BR3" s="181"/>
      <c r="BS3" s="176">
        <f t="shared" si="10"/>
        <v>87.622176591375762</v>
      </c>
      <c r="BT3" s="170">
        <f t="shared" si="11"/>
        <v>2666.9999999999995</v>
      </c>
      <c r="BU3" s="170">
        <f t="shared" si="12"/>
        <v>0</v>
      </c>
      <c r="BV3" s="170">
        <v>1</v>
      </c>
      <c r="BW3" s="170">
        <v>1</v>
      </c>
      <c r="BX3" s="181"/>
      <c r="BY3" s="170">
        <f>(BF3-I3)/365.25*12</f>
        <v>87.622176591375762</v>
      </c>
      <c r="BZ3" s="170">
        <f t="shared" si="13"/>
        <v>2666.9999999999995</v>
      </c>
      <c r="CA3" s="170">
        <f>BU3</f>
        <v>0</v>
      </c>
      <c r="CB3" s="181"/>
      <c r="CC3" s="170">
        <f t="shared" si="14"/>
        <v>87.622176591375762</v>
      </c>
      <c r="CD3" s="170">
        <f t="shared" si="14"/>
        <v>2666.9999999999995</v>
      </c>
      <c r="CE3" s="172"/>
      <c r="CF3" s="182"/>
      <c r="CG3" s="170">
        <v>1</v>
      </c>
      <c r="CH3" s="183">
        <f>0.96+1.73</f>
        <v>2.69</v>
      </c>
      <c r="CI3" s="182" t="s">
        <v>327</v>
      </c>
      <c r="CJ3" s="182"/>
      <c r="CK3" s="179" t="s">
        <v>363</v>
      </c>
      <c r="CL3" s="179"/>
      <c r="CM3" s="179" t="s">
        <v>408</v>
      </c>
      <c r="CN3" s="181">
        <v>37647</v>
      </c>
      <c r="CO3" s="170">
        <v>1</v>
      </c>
      <c r="CP3" s="170">
        <f>(CN3-AP3)*12/365.25</f>
        <v>70.965092402464066</v>
      </c>
      <c r="CQ3" s="170" t="s">
        <v>389</v>
      </c>
      <c r="CR3" s="182"/>
    </row>
    <row r="4" spans="1:96" ht="25.5">
      <c r="A4" s="1" t="s">
        <v>425</v>
      </c>
      <c r="B4" s="1" t="s">
        <v>454</v>
      </c>
      <c r="C4" s="27">
        <v>2</v>
      </c>
      <c r="D4" s="27">
        <v>2</v>
      </c>
      <c r="E4" s="27">
        <v>8700</v>
      </c>
      <c r="F4" s="28">
        <v>16040</v>
      </c>
      <c r="G4" s="1">
        <v>1238909</v>
      </c>
      <c r="H4" s="27" t="s">
        <v>121</v>
      </c>
      <c r="I4" s="29">
        <v>35518</v>
      </c>
      <c r="J4" s="16">
        <f t="shared" si="0"/>
        <v>53.327857631759066</v>
      </c>
      <c r="K4" s="35">
        <v>1</v>
      </c>
      <c r="L4" s="30" t="s">
        <v>472</v>
      </c>
      <c r="M4" s="2" t="s">
        <v>122</v>
      </c>
      <c r="N4" s="35" t="s">
        <v>403</v>
      </c>
      <c r="O4" s="35">
        <v>0</v>
      </c>
      <c r="P4" s="35">
        <v>0</v>
      </c>
      <c r="Q4" s="35">
        <v>1</v>
      </c>
      <c r="R4" s="35">
        <v>0</v>
      </c>
      <c r="S4" s="35">
        <v>0</v>
      </c>
      <c r="T4" s="30" t="s">
        <v>475</v>
      </c>
      <c r="U4" s="37" t="s">
        <v>402</v>
      </c>
      <c r="V4" s="37">
        <v>1</v>
      </c>
      <c r="W4" s="37">
        <v>0</v>
      </c>
      <c r="X4" s="37">
        <v>0</v>
      </c>
      <c r="Y4" s="37">
        <v>0</v>
      </c>
      <c r="Z4" s="37">
        <v>0</v>
      </c>
      <c r="AA4" s="37">
        <v>0</v>
      </c>
      <c r="AB4" s="31">
        <v>33637</v>
      </c>
      <c r="AC4" s="10">
        <v>35430</v>
      </c>
      <c r="AD4" s="11">
        <f t="shared" si="1"/>
        <v>58.907597535934286</v>
      </c>
      <c r="AE4" s="11">
        <v>0</v>
      </c>
      <c r="AF4" s="11">
        <v>0</v>
      </c>
      <c r="AG4" s="10" t="s">
        <v>387</v>
      </c>
      <c r="AH4" s="35">
        <v>1</v>
      </c>
      <c r="AI4" s="32" t="s">
        <v>479</v>
      </c>
      <c r="AJ4" s="10">
        <v>35430</v>
      </c>
      <c r="AK4" s="11">
        <f t="shared" si="2"/>
        <v>2.8911704312114992</v>
      </c>
      <c r="AL4" s="11">
        <f t="shared" si="3"/>
        <v>0</v>
      </c>
      <c r="AM4" s="11">
        <f t="shared" si="4"/>
        <v>61.798767967145793</v>
      </c>
      <c r="AN4" s="2">
        <v>1</v>
      </c>
      <c r="AO4" s="2">
        <v>1</v>
      </c>
      <c r="AP4" s="28">
        <v>35524</v>
      </c>
      <c r="AQ4" s="28">
        <v>35546</v>
      </c>
      <c r="AR4" s="39">
        <f t="shared" si="5"/>
        <v>3.1428571428571428</v>
      </c>
      <c r="AS4" s="20">
        <v>17</v>
      </c>
      <c r="AT4" s="20">
        <v>3</v>
      </c>
      <c r="AU4" s="20">
        <f t="shared" si="6"/>
        <v>51</v>
      </c>
      <c r="AV4" s="20">
        <v>0</v>
      </c>
      <c r="AW4" s="27">
        <v>0</v>
      </c>
      <c r="AX4" s="20">
        <v>0</v>
      </c>
      <c r="AY4" s="20">
        <v>0</v>
      </c>
      <c r="AZ4" s="20">
        <v>0</v>
      </c>
      <c r="BA4" s="20">
        <v>1</v>
      </c>
      <c r="BB4" s="20">
        <v>0</v>
      </c>
      <c r="BC4" s="20">
        <v>1</v>
      </c>
      <c r="BD4" s="20">
        <v>0</v>
      </c>
      <c r="BE4" s="29"/>
      <c r="BF4" s="48">
        <v>38104</v>
      </c>
      <c r="BG4" s="196">
        <v>38199</v>
      </c>
      <c r="BH4" s="196" t="s">
        <v>537</v>
      </c>
      <c r="BI4" s="2"/>
      <c r="BJ4" s="35">
        <f t="shared" si="7"/>
        <v>88.082135523613971</v>
      </c>
      <c r="BK4" s="35">
        <f t="shared" si="8"/>
        <v>2681.0000000000005</v>
      </c>
      <c r="BL4" s="35">
        <v>0</v>
      </c>
      <c r="BM4" s="17"/>
      <c r="BN4" s="35"/>
      <c r="BO4" s="35">
        <f>(BF4-I4)/365.25*12</f>
        <v>84.96098562628336</v>
      </c>
      <c r="BP4" s="35">
        <f t="shared" si="9"/>
        <v>2585.9999999999995</v>
      </c>
      <c r="BQ4" s="35">
        <v>0</v>
      </c>
      <c r="BR4" s="17"/>
      <c r="BS4" s="11">
        <f t="shared" si="10"/>
        <v>84.96098562628336</v>
      </c>
      <c r="BT4" s="35">
        <f t="shared" si="11"/>
        <v>2585.9999999999995</v>
      </c>
      <c r="BU4" s="35">
        <f t="shared" si="12"/>
        <v>0</v>
      </c>
      <c r="BV4" s="35">
        <v>1</v>
      </c>
      <c r="BW4" s="35">
        <v>1</v>
      </c>
      <c r="BX4" s="17"/>
      <c r="BY4" s="35">
        <f>(BF4-I4)/365.25*12</f>
        <v>84.96098562628336</v>
      </c>
      <c r="BZ4" s="35">
        <f t="shared" si="13"/>
        <v>2585.9999999999995</v>
      </c>
      <c r="CA4" s="35">
        <f>BU4</f>
        <v>0</v>
      </c>
      <c r="CB4" s="17"/>
      <c r="CC4" s="35">
        <f t="shared" si="14"/>
        <v>84.96098562628336</v>
      </c>
      <c r="CD4" s="35">
        <f t="shared" si="14"/>
        <v>2585.9999999999995</v>
      </c>
      <c r="CE4" s="2"/>
      <c r="CF4" s="19"/>
      <c r="CG4" s="35">
        <v>1</v>
      </c>
      <c r="CH4" s="43">
        <v>4.82</v>
      </c>
      <c r="CI4" s="19"/>
      <c r="CJ4" s="19"/>
      <c r="CK4" s="20">
        <v>0</v>
      </c>
      <c r="CL4" s="20"/>
      <c r="CM4" s="20" t="s">
        <v>408</v>
      </c>
      <c r="CN4" s="17"/>
      <c r="CO4" s="35">
        <v>0</v>
      </c>
      <c r="CP4" s="17"/>
      <c r="CQ4" s="17" t="s">
        <v>408</v>
      </c>
      <c r="CR4" s="19"/>
    </row>
    <row r="5" spans="1:96" ht="38.25">
      <c r="A5" s="1" t="s">
        <v>426</v>
      </c>
      <c r="B5" s="1" t="s">
        <v>114</v>
      </c>
      <c r="C5" s="27">
        <v>3</v>
      </c>
      <c r="D5" s="27">
        <v>3</v>
      </c>
      <c r="E5" s="27">
        <v>8700</v>
      </c>
      <c r="F5" s="28">
        <v>12561</v>
      </c>
      <c r="G5" s="1">
        <v>717272</v>
      </c>
      <c r="H5" s="27" t="s">
        <v>121</v>
      </c>
      <c r="I5" s="29">
        <v>35536</v>
      </c>
      <c r="J5" s="16">
        <f t="shared" si="0"/>
        <v>62.902121834360024</v>
      </c>
      <c r="K5" s="35">
        <v>1</v>
      </c>
      <c r="L5" s="30" t="s">
        <v>49</v>
      </c>
      <c r="M5" s="2" t="s">
        <v>122</v>
      </c>
      <c r="N5" s="35" t="s">
        <v>403</v>
      </c>
      <c r="O5" s="35">
        <v>0</v>
      </c>
      <c r="P5" s="35">
        <v>0</v>
      </c>
      <c r="Q5" s="35">
        <v>1</v>
      </c>
      <c r="R5" s="35">
        <v>0</v>
      </c>
      <c r="S5" s="35">
        <v>0</v>
      </c>
      <c r="T5" s="30" t="s">
        <v>475</v>
      </c>
      <c r="U5" s="37" t="s">
        <v>402</v>
      </c>
      <c r="V5" s="37">
        <v>1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1">
        <v>34026</v>
      </c>
      <c r="AC5" s="10">
        <v>35369</v>
      </c>
      <c r="AD5" s="11">
        <f t="shared" si="1"/>
        <v>44.123203285420942</v>
      </c>
      <c r="AE5" s="11">
        <v>0</v>
      </c>
      <c r="AF5" s="11">
        <v>0</v>
      </c>
      <c r="AG5" s="10" t="s">
        <v>387</v>
      </c>
      <c r="AH5" s="35">
        <v>1</v>
      </c>
      <c r="AI5" s="32" t="s">
        <v>480</v>
      </c>
      <c r="AJ5" s="10">
        <v>35369</v>
      </c>
      <c r="AK5" s="11">
        <f t="shared" si="2"/>
        <v>5.4866529774127306</v>
      </c>
      <c r="AL5" s="11">
        <f t="shared" si="3"/>
        <v>0</v>
      </c>
      <c r="AM5" s="11">
        <f t="shared" si="4"/>
        <v>49.609856262833674</v>
      </c>
      <c r="AN5" s="2">
        <v>1</v>
      </c>
      <c r="AO5" s="2">
        <v>1</v>
      </c>
      <c r="AP5" s="28">
        <v>35549</v>
      </c>
      <c r="AQ5" s="28">
        <v>35595</v>
      </c>
      <c r="AR5" s="39">
        <f t="shared" si="5"/>
        <v>6.5714285714285712</v>
      </c>
      <c r="AS5" s="20">
        <v>28</v>
      </c>
      <c r="AT5" s="20">
        <v>1.8</v>
      </c>
      <c r="AU5" s="20">
        <f t="shared" si="6"/>
        <v>50.4</v>
      </c>
      <c r="AV5" s="20">
        <v>0</v>
      </c>
      <c r="AW5" s="27">
        <v>1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1</v>
      </c>
      <c r="BD5" s="20">
        <v>0</v>
      </c>
      <c r="BE5" s="29"/>
      <c r="BF5" s="48">
        <v>37922</v>
      </c>
      <c r="BG5" s="196">
        <v>38199</v>
      </c>
      <c r="BH5" s="196" t="s">
        <v>537</v>
      </c>
      <c r="BI5" s="2"/>
      <c r="BJ5" s="35">
        <f t="shared" si="7"/>
        <v>87.490759753593423</v>
      </c>
      <c r="BK5" s="35">
        <f t="shared" si="8"/>
        <v>2662.9999999999995</v>
      </c>
      <c r="BL5" s="35">
        <v>0</v>
      </c>
      <c r="BM5" s="17"/>
      <c r="BN5" s="35"/>
      <c r="BO5" s="35">
        <f>(BF5-I5)/365.25*12</f>
        <v>78.390143737166326</v>
      </c>
      <c r="BP5" s="35">
        <f t="shared" si="9"/>
        <v>2386</v>
      </c>
      <c r="BQ5" s="35">
        <v>0</v>
      </c>
      <c r="BR5" s="17"/>
      <c r="BS5" s="11">
        <f t="shared" si="10"/>
        <v>78.390143737166326</v>
      </c>
      <c r="BT5" s="35">
        <f t="shared" si="11"/>
        <v>2386</v>
      </c>
      <c r="BU5" s="35">
        <f t="shared" si="12"/>
        <v>0</v>
      </c>
      <c r="BV5" s="35">
        <v>1</v>
      </c>
      <c r="BW5" s="35">
        <v>1</v>
      </c>
      <c r="BX5" s="17"/>
      <c r="BY5" s="35">
        <f>(BF5-I5)/365.25*12</f>
        <v>78.390143737166326</v>
      </c>
      <c r="BZ5" s="35">
        <f t="shared" si="13"/>
        <v>2386</v>
      </c>
      <c r="CA5" s="35">
        <f>BU5</f>
        <v>0</v>
      </c>
      <c r="CB5" s="17"/>
      <c r="CC5" s="35">
        <f t="shared" si="14"/>
        <v>78.390143737166326</v>
      </c>
      <c r="CD5" s="35">
        <f t="shared" si="14"/>
        <v>2386</v>
      </c>
      <c r="CE5" s="2"/>
      <c r="CF5" s="19"/>
      <c r="CG5" s="35">
        <v>1</v>
      </c>
      <c r="CH5" s="43">
        <f>2.12</f>
        <v>2.12</v>
      </c>
      <c r="CI5" s="19"/>
      <c r="CJ5" s="19"/>
      <c r="CK5" s="20">
        <v>0</v>
      </c>
      <c r="CL5" s="20"/>
      <c r="CM5" s="20" t="s">
        <v>408</v>
      </c>
      <c r="CN5" s="17"/>
      <c r="CO5" s="35">
        <v>0</v>
      </c>
      <c r="CP5" s="43"/>
      <c r="CQ5" s="43" t="s">
        <v>408</v>
      </c>
      <c r="CR5" s="19"/>
    </row>
    <row r="6" spans="1:96" ht="25.5">
      <c r="A6" s="1" t="s">
        <v>428</v>
      </c>
      <c r="B6" s="1" t="s">
        <v>455</v>
      </c>
      <c r="C6" s="27">
        <v>5</v>
      </c>
      <c r="D6" s="27">
        <v>4</v>
      </c>
      <c r="E6" s="27">
        <v>8700</v>
      </c>
      <c r="F6" s="28">
        <v>15407</v>
      </c>
      <c r="G6" s="1">
        <v>1984625</v>
      </c>
      <c r="H6" s="27" t="s">
        <v>121</v>
      </c>
      <c r="I6" s="29">
        <v>35859</v>
      </c>
      <c r="J6" s="16">
        <f t="shared" si="0"/>
        <v>55.994524298425738</v>
      </c>
      <c r="K6" s="35">
        <v>1</v>
      </c>
      <c r="L6" s="34" t="s">
        <v>49</v>
      </c>
      <c r="M6" s="2" t="s">
        <v>122</v>
      </c>
      <c r="N6" s="35" t="s">
        <v>403</v>
      </c>
      <c r="O6" s="35">
        <v>0</v>
      </c>
      <c r="P6" s="35">
        <v>0</v>
      </c>
      <c r="Q6" s="35">
        <v>1</v>
      </c>
      <c r="R6" s="35">
        <v>0</v>
      </c>
      <c r="S6" s="35">
        <v>0</v>
      </c>
      <c r="T6" s="30" t="s">
        <v>477</v>
      </c>
      <c r="U6" s="37" t="s">
        <v>402</v>
      </c>
      <c r="V6" s="37">
        <v>1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1">
        <v>34531</v>
      </c>
      <c r="AC6" s="10">
        <v>35352</v>
      </c>
      <c r="AD6" s="11">
        <f t="shared" si="1"/>
        <v>26.973305954825463</v>
      </c>
      <c r="AE6" s="11">
        <v>1</v>
      </c>
      <c r="AF6" s="11">
        <v>0</v>
      </c>
      <c r="AG6" s="10" t="s">
        <v>387</v>
      </c>
      <c r="AH6" s="35">
        <v>1</v>
      </c>
      <c r="AI6" s="30" t="s">
        <v>327</v>
      </c>
      <c r="AJ6" s="10">
        <v>35352</v>
      </c>
      <c r="AK6" s="11">
        <f t="shared" si="2"/>
        <v>16.657084188911703</v>
      </c>
      <c r="AL6" s="11">
        <f t="shared" si="3"/>
        <v>0</v>
      </c>
      <c r="AM6" s="11">
        <f t="shared" si="4"/>
        <v>43.630390143737166</v>
      </c>
      <c r="AN6" s="2">
        <v>1</v>
      </c>
      <c r="AO6" s="2">
        <v>1</v>
      </c>
      <c r="AP6" s="28">
        <v>35895</v>
      </c>
      <c r="AQ6" s="28">
        <v>35908</v>
      </c>
      <c r="AR6" s="39">
        <f t="shared" si="5"/>
        <v>1.8571428571428572</v>
      </c>
      <c r="AS6" s="20">
        <v>10</v>
      </c>
      <c r="AT6" s="20">
        <v>5</v>
      </c>
      <c r="AU6" s="20">
        <f t="shared" si="6"/>
        <v>50</v>
      </c>
      <c r="AV6" s="20">
        <v>0</v>
      </c>
      <c r="AW6" s="27">
        <v>1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1</v>
      </c>
      <c r="BD6" s="20">
        <v>0</v>
      </c>
      <c r="BE6" s="29"/>
      <c r="BF6" s="48">
        <v>37709</v>
      </c>
      <c r="BG6" s="196">
        <v>38199</v>
      </c>
      <c r="BH6" s="196" t="s">
        <v>537</v>
      </c>
      <c r="BI6" s="2"/>
      <c r="BJ6" s="35">
        <f t="shared" si="7"/>
        <v>76.878850102669404</v>
      </c>
      <c r="BK6" s="35">
        <f t="shared" si="8"/>
        <v>2340</v>
      </c>
      <c r="BL6" s="35">
        <v>1</v>
      </c>
      <c r="BM6" s="17">
        <v>36071</v>
      </c>
      <c r="BN6" s="35">
        <f>(BM6-AQ6)*12/365.25</f>
        <v>5.3552361396303905</v>
      </c>
      <c r="BO6" s="35">
        <f>(BM6-I6)*12/365.25</f>
        <v>6.9650924024640659</v>
      </c>
      <c r="BP6" s="35">
        <f t="shared" si="9"/>
        <v>212</v>
      </c>
      <c r="BQ6" s="35">
        <v>0</v>
      </c>
      <c r="BR6" s="17"/>
      <c r="BS6" s="11">
        <f t="shared" si="10"/>
        <v>60.780287474332653</v>
      </c>
      <c r="BT6" s="35">
        <f t="shared" si="11"/>
        <v>1850</v>
      </c>
      <c r="BU6" s="35">
        <f t="shared" si="12"/>
        <v>1</v>
      </c>
      <c r="BV6" s="35">
        <v>1</v>
      </c>
      <c r="BW6" s="35">
        <v>1</v>
      </c>
      <c r="BX6" s="17">
        <f>BM6</f>
        <v>36071</v>
      </c>
      <c r="BY6" s="35">
        <f>(BX6-I6)*12/365.25</f>
        <v>6.9650924024640659</v>
      </c>
      <c r="BZ6" s="35">
        <f t="shared" si="13"/>
        <v>212</v>
      </c>
      <c r="CA6" s="50">
        <v>0</v>
      </c>
      <c r="CB6" s="48">
        <f>BF6</f>
        <v>37709</v>
      </c>
      <c r="CC6" s="50">
        <f>(CB6-I6)/365.25*12</f>
        <v>60.780287474332653</v>
      </c>
      <c r="CD6" s="50">
        <f>CC6*365.25/12</f>
        <v>1850</v>
      </c>
      <c r="CE6" s="2"/>
      <c r="CF6" s="19"/>
      <c r="CG6" s="35">
        <v>3</v>
      </c>
      <c r="CH6" s="43">
        <v>44.55</v>
      </c>
      <c r="CI6" s="19"/>
      <c r="CJ6" s="19"/>
      <c r="CK6" s="20">
        <v>0</v>
      </c>
      <c r="CL6" s="20" t="s">
        <v>363</v>
      </c>
      <c r="CM6" s="20" t="s">
        <v>389</v>
      </c>
      <c r="CN6" s="17"/>
      <c r="CO6" s="35">
        <v>0</v>
      </c>
      <c r="CP6" s="17"/>
      <c r="CQ6" s="17" t="s">
        <v>408</v>
      </c>
      <c r="CR6" s="19"/>
    </row>
    <row r="7" spans="1:96" s="113" customFormat="1" ht="25.5">
      <c r="A7" s="1" t="s">
        <v>434</v>
      </c>
      <c r="B7" s="1" t="s">
        <v>459</v>
      </c>
      <c r="C7" s="27">
        <v>13</v>
      </c>
      <c r="D7" s="27">
        <v>5</v>
      </c>
      <c r="E7" s="27">
        <v>8700</v>
      </c>
      <c r="F7" s="28">
        <v>21024</v>
      </c>
      <c r="G7" s="1">
        <v>2222044</v>
      </c>
      <c r="H7" s="27" t="s">
        <v>121</v>
      </c>
      <c r="I7" s="29">
        <v>36651</v>
      </c>
      <c r="J7" s="16">
        <f t="shared" si="0"/>
        <v>42.784394250513344</v>
      </c>
      <c r="K7" s="35">
        <v>1</v>
      </c>
      <c r="L7" s="34" t="s">
        <v>49</v>
      </c>
      <c r="M7" s="2" t="s">
        <v>122</v>
      </c>
      <c r="N7" s="35" t="s">
        <v>403</v>
      </c>
      <c r="O7" s="35">
        <v>0</v>
      </c>
      <c r="P7" s="35">
        <v>0</v>
      </c>
      <c r="Q7" s="35">
        <v>1</v>
      </c>
      <c r="R7" s="35">
        <v>0</v>
      </c>
      <c r="S7" s="35">
        <v>0</v>
      </c>
      <c r="T7" s="30" t="s">
        <v>475</v>
      </c>
      <c r="U7" s="37" t="s">
        <v>402</v>
      </c>
      <c r="V7" s="37">
        <v>1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1">
        <v>35625</v>
      </c>
      <c r="AC7" s="10">
        <v>36197</v>
      </c>
      <c r="AD7" s="11">
        <f t="shared" si="1"/>
        <v>18.792607802874741</v>
      </c>
      <c r="AE7" s="11">
        <v>0</v>
      </c>
      <c r="AF7" s="11">
        <v>0</v>
      </c>
      <c r="AG7" s="10" t="s">
        <v>387</v>
      </c>
      <c r="AH7" s="35">
        <v>1</v>
      </c>
      <c r="AI7" s="30" t="s">
        <v>40</v>
      </c>
      <c r="AJ7" s="10">
        <v>36197</v>
      </c>
      <c r="AK7" s="11">
        <f t="shared" si="2"/>
        <v>14.915811088295689</v>
      </c>
      <c r="AL7" s="11">
        <f t="shared" si="3"/>
        <v>0</v>
      </c>
      <c r="AM7" s="11">
        <f t="shared" si="4"/>
        <v>33.708418891170432</v>
      </c>
      <c r="AN7" s="2">
        <v>2</v>
      </c>
      <c r="AO7" s="2">
        <v>0</v>
      </c>
      <c r="AP7" s="28">
        <v>36662</v>
      </c>
      <c r="AQ7" s="28">
        <v>36694</v>
      </c>
      <c r="AR7" s="39">
        <f t="shared" si="5"/>
        <v>4.5714285714285712</v>
      </c>
      <c r="AS7" s="20">
        <v>13</v>
      </c>
      <c r="AT7" s="20">
        <v>4</v>
      </c>
      <c r="AU7" s="20">
        <f t="shared" si="6"/>
        <v>52</v>
      </c>
      <c r="AV7" s="20">
        <v>0</v>
      </c>
      <c r="AW7" s="27">
        <v>0</v>
      </c>
      <c r="AX7" s="20">
        <v>0</v>
      </c>
      <c r="AY7" s="20">
        <v>0</v>
      </c>
      <c r="AZ7" s="20">
        <v>0</v>
      </c>
      <c r="BA7" s="20">
        <v>1</v>
      </c>
      <c r="BB7" s="20">
        <v>0</v>
      </c>
      <c r="BC7" s="20">
        <v>1</v>
      </c>
      <c r="BD7" s="20">
        <v>0</v>
      </c>
      <c r="BE7" s="29"/>
      <c r="BF7" s="48">
        <v>38058</v>
      </c>
      <c r="BG7" s="196">
        <v>38199</v>
      </c>
      <c r="BH7" s="196" t="s">
        <v>537</v>
      </c>
      <c r="BI7" s="2"/>
      <c r="BJ7" s="35">
        <f t="shared" si="7"/>
        <v>50.858316221765911</v>
      </c>
      <c r="BK7" s="35">
        <f t="shared" si="8"/>
        <v>1548</v>
      </c>
      <c r="BL7" s="35">
        <v>0</v>
      </c>
      <c r="BM7" s="17"/>
      <c r="BN7" s="35"/>
      <c r="BO7" s="35">
        <f t="shared" ref="BO7:BO18" si="15">(BF7-I7)/365.25*12</f>
        <v>46.225872689938399</v>
      </c>
      <c r="BP7" s="35">
        <f t="shared" si="9"/>
        <v>1407</v>
      </c>
      <c r="BQ7" s="35">
        <v>0</v>
      </c>
      <c r="BR7" s="17"/>
      <c r="BS7" s="11">
        <f t="shared" si="10"/>
        <v>46.225872689938399</v>
      </c>
      <c r="BT7" s="35">
        <f t="shared" si="11"/>
        <v>1407</v>
      </c>
      <c r="BU7" s="35">
        <f t="shared" si="12"/>
        <v>0</v>
      </c>
      <c r="BV7" s="35">
        <v>1</v>
      </c>
      <c r="BW7" s="35">
        <v>1</v>
      </c>
      <c r="BX7" s="17"/>
      <c r="BY7" s="35">
        <f>(BF7-I7)/365.25*12</f>
        <v>46.225872689938399</v>
      </c>
      <c r="BZ7" s="35">
        <f t="shared" si="13"/>
        <v>1407</v>
      </c>
      <c r="CA7" s="35">
        <f t="shared" ref="CA7:CA18" si="16">BU7</f>
        <v>0</v>
      </c>
      <c r="CB7" s="17"/>
      <c r="CC7" s="35">
        <f t="shared" ref="CC7:CC18" si="17">BY7</f>
        <v>46.225872689938399</v>
      </c>
      <c r="CD7" s="35">
        <f t="shared" ref="CD7:CD18" si="18">BZ7</f>
        <v>1407</v>
      </c>
      <c r="CE7" s="2"/>
      <c r="CF7" s="19"/>
      <c r="CG7" s="35">
        <v>3</v>
      </c>
      <c r="CH7" s="43">
        <f>16.13+24.68</f>
        <v>40.81</v>
      </c>
      <c r="CI7" s="19"/>
      <c r="CJ7" s="19"/>
      <c r="CK7" s="20">
        <v>0</v>
      </c>
      <c r="CL7" s="20"/>
      <c r="CM7" s="20" t="s">
        <v>408</v>
      </c>
      <c r="CN7" s="17"/>
      <c r="CO7" s="35">
        <v>0</v>
      </c>
      <c r="CP7" s="17"/>
      <c r="CQ7" s="17" t="s">
        <v>408</v>
      </c>
      <c r="CR7" s="19"/>
    </row>
    <row r="8" spans="1:96" ht="25.5">
      <c r="A8" s="1" t="s">
        <v>435</v>
      </c>
      <c r="B8" s="1" t="s">
        <v>460</v>
      </c>
      <c r="C8" s="27">
        <v>14</v>
      </c>
      <c r="D8" s="27">
        <v>6</v>
      </c>
      <c r="E8" s="27">
        <v>8700</v>
      </c>
      <c r="F8" s="28">
        <v>22118</v>
      </c>
      <c r="G8" s="1">
        <v>932673</v>
      </c>
      <c r="H8" s="27" t="s">
        <v>121</v>
      </c>
      <c r="I8" s="29">
        <v>36671</v>
      </c>
      <c r="J8" s="16">
        <f t="shared" si="0"/>
        <v>39.843942505133469</v>
      </c>
      <c r="K8" s="35">
        <v>1</v>
      </c>
      <c r="L8" s="34" t="s">
        <v>49</v>
      </c>
      <c r="M8" s="2" t="s">
        <v>122</v>
      </c>
      <c r="N8" s="35" t="s">
        <v>403</v>
      </c>
      <c r="O8" s="35">
        <v>0</v>
      </c>
      <c r="P8" s="35">
        <v>0</v>
      </c>
      <c r="Q8" s="35">
        <v>1</v>
      </c>
      <c r="R8" s="35">
        <v>0</v>
      </c>
      <c r="S8" s="35">
        <v>0</v>
      </c>
      <c r="T8" s="30" t="s">
        <v>475</v>
      </c>
      <c r="U8" s="37" t="s">
        <v>402</v>
      </c>
      <c r="V8" s="37">
        <v>1</v>
      </c>
      <c r="W8" s="37">
        <v>0</v>
      </c>
      <c r="X8" s="37">
        <v>0</v>
      </c>
      <c r="Y8" s="37">
        <v>0</v>
      </c>
      <c r="Z8" s="37">
        <v>0</v>
      </c>
      <c r="AA8" s="37">
        <v>0</v>
      </c>
      <c r="AB8" s="31">
        <v>36306</v>
      </c>
      <c r="AC8" s="10">
        <v>36311</v>
      </c>
      <c r="AD8" s="11">
        <f t="shared" si="1"/>
        <v>0.16427104722792607</v>
      </c>
      <c r="AE8" s="11">
        <v>0</v>
      </c>
      <c r="AF8" s="11">
        <v>0</v>
      </c>
      <c r="AG8" s="10" t="s">
        <v>389</v>
      </c>
      <c r="AH8" s="35">
        <v>1</v>
      </c>
      <c r="AI8" s="30" t="s">
        <v>40</v>
      </c>
      <c r="AJ8" s="10">
        <v>36311</v>
      </c>
      <c r="AK8" s="11">
        <f t="shared" si="2"/>
        <v>11.827515400410677</v>
      </c>
      <c r="AL8" s="11">
        <f t="shared" si="3"/>
        <v>0</v>
      </c>
      <c r="AM8" s="11">
        <f t="shared" si="4"/>
        <v>11.991786447638603</v>
      </c>
      <c r="AN8" s="2">
        <v>1</v>
      </c>
      <c r="AO8" s="2">
        <v>1</v>
      </c>
      <c r="AP8" s="28">
        <v>36686</v>
      </c>
      <c r="AQ8" s="28">
        <v>36691</v>
      </c>
      <c r="AR8" s="39">
        <f t="shared" si="5"/>
        <v>0.7142857142857143</v>
      </c>
      <c r="AS8" s="20">
        <v>4</v>
      </c>
      <c r="AT8" s="20">
        <v>5</v>
      </c>
      <c r="AU8" s="20">
        <f t="shared" si="6"/>
        <v>20</v>
      </c>
      <c r="AV8" s="20">
        <v>0</v>
      </c>
      <c r="AW8" s="27">
        <v>0</v>
      </c>
      <c r="AX8" s="20">
        <v>0</v>
      </c>
      <c r="AY8" s="20">
        <v>0</v>
      </c>
      <c r="AZ8" s="20">
        <v>0</v>
      </c>
      <c r="BA8" s="20">
        <v>1</v>
      </c>
      <c r="BB8" s="20">
        <v>0</v>
      </c>
      <c r="BC8" s="20">
        <v>1</v>
      </c>
      <c r="BD8" s="20">
        <v>0</v>
      </c>
      <c r="BE8" s="29"/>
      <c r="BF8" s="48">
        <v>38041</v>
      </c>
      <c r="BG8" s="196">
        <v>38199</v>
      </c>
      <c r="BH8" s="196" t="s">
        <v>537</v>
      </c>
      <c r="BI8" s="2"/>
      <c r="BJ8" s="35">
        <f t="shared" si="7"/>
        <v>50.201232032854215</v>
      </c>
      <c r="BK8" s="35">
        <f t="shared" si="8"/>
        <v>1528.0000000000002</v>
      </c>
      <c r="BL8" s="35">
        <v>0</v>
      </c>
      <c r="BM8" s="17"/>
      <c r="BN8" s="35"/>
      <c r="BO8" s="35">
        <f t="shared" si="15"/>
        <v>45.010266940451743</v>
      </c>
      <c r="BP8" s="35">
        <f t="shared" si="9"/>
        <v>1370</v>
      </c>
      <c r="BQ8" s="35">
        <v>0</v>
      </c>
      <c r="BR8" s="17"/>
      <c r="BS8" s="11">
        <f t="shared" si="10"/>
        <v>45.010266940451743</v>
      </c>
      <c r="BT8" s="35">
        <f t="shared" si="11"/>
        <v>1370</v>
      </c>
      <c r="BU8" s="35">
        <f t="shared" si="12"/>
        <v>0</v>
      </c>
      <c r="BV8" s="35">
        <v>1</v>
      </c>
      <c r="BW8" s="35">
        <v>1</v>
      </c>
      <c r="BX8" s="17"/>
      <c r="BY8" s="35">
        <f>(BF8-I8)/365.25*12</f>
        <v>45.010266940451743</v>
      </c>
      <c r="BZ8" s="35">
        <f t="shared" si="13"/>
        <v>1370</v>
      </c>
      <c r="CA8" s="35">
        <f t="shared" si="16"/>
        <v>0</v>
      </c>
      <c r="CB8" s="17"/>
      <c r="CC8" s="35">
        <f t="shared" si="17"/>
        <v>45.010266940451743</v>
      </c>
      <c r="CD8" s="35">
        <f t="shared" si="18"/>
        <v>1370</v>
      </c>
      <c r="CE8" s="2"/>
      <c r="CF8" s="19"/>
      <c r="CG8" s="35">
        <v>2</v>
      </c>
      <c r="CH8" s="43">
        <v>11.75</v>
      </c>
      <c r="CI8" s="19"/>
      <c r="CJ8" s="19"/>
      <c r="CK8" s="20">
        <v>0</v>
      </c>
      <c r="CL8" s="20"/>
      <c r="CM8" s="20" t="s">
        <v>408</v>
      </c>
      <c r="CN8" s="17"/>
      <c r="CO8" s="35">
        <v>0</v>
      </c>
      <c r="CP8" s="17"/>
      <c r="CQ8" s="17" t="s">
        <v>408</v>
      </c>
      <c r="CR8" s="19"/>
    </row>
    <row r="9" spans="1:96" s="113" customFormat="1" ht="38.25">
      <c r="A9" s="1" t="s">
        <v>436</v>
      </c>
      <c r="B9" s="1" t="s">
        <v>461</v>
      </c>
      <c r="C9" s="27">
        <v>15</v>
      </c>
      <c r="D9" s="27">
        <v>7</v>
      </c>
      <c r="E9" s="27">
        <v>8700</v>
      </c>
      <c r="F9" s="28">
        <v>23415</v>
      </c>
      <c r="G9" s="1">
        <v>2196028</v>
      </c>
      <c r="H9" s="27" t="s">
        <v>121</v>
      </c>
      <c r="I9" s="29">
        <v>36684</v>
      </c>
      <c r="J9" s="16">
        <f t="shared" si="0"/>
        <v>36.328542094455855</v>
      </c>
      <c r="K9" s="35">
        <v>1</v>
      </c>
      <c r="L9" s="34" t="s">
        <v>49</v>
      </c>
      <c r="M9" s="2" t="s">
        <v>122</v>
      </c>
      <c r="N9" s="35" t="s">
        <v>403</v>
      </c>
      <c r="O9" s="35">
        <v>0</v>
      </c>
      <c r="P9" s="35">
        <v>0</v>
      </c>
      <c r="Q9" s="35">
        <v>1</v>
      </c>
      <c r="R9" s="35">
        <v>0</v>
      </c>
      <c r="S9" s="35">
        <v>0</v>
      </c>
      <c r="T9" s="30" t="s">
        <v>475</v>
      </c>
      <c r="U9" s="37" t="s">
        <v>402</v>
      </c>
      <c r="V9" s="37">
        <v>1</v>
      </c>
      <c r="W9" s="37">
        <v>0</v>
      </c>
      <c r="X9" s="37">
        <v>0</v>
      </c>
      <c r="Y9" s="37">
        <v>0</v>
      </c>
      <c r="Z9" s="37">
        <v>0</v>
      </c>
      <c r="AA9" s="37">
        <v>0</v>
      </c>
      <c r="AB9" s="31">
        <v>36494</v>
      </c>
      <c r="AC9" s="10">
        <v>36494</v>
      </c>
      <c r="AD9" s="11">
        <f t="shared" si="1"/>
        <v>0</v>
      </c>
      <c r="AE9" s="11">
        <v>0</v>
      </c>
      <c r="AF9" s="11">
        <v>0</v>
      </c>
      <c r="AG9" s="10" t="s">
        <v>387</v>
      </c>
      <c r="AH9" s="35">
        <v>1</v>
      </c>
      <c r="AI9" s="30" t="s">
        <v>315</v>
      </c>
      <c r="AJ9" s="10">
        <v>36494</v>
      </c>
      <c r="AK9" s="11">
        <f t="shared" si="2"/>
        <v>6.2422997946611911</v>
      </c>
      <c r="AL9" s="11">
        <f t="shared" si="3"/>
        <v>0</v>
      </c>
      <c r="AM9" s="11">
        <f t="shared" si="4"/>
        <v>6.2422997946611911</v>
      </c>
      <c r="AN9" s="2">
        <v>3</v>
      </c>
      <c r="AO9" s="2">
        <v>0</v>
      </c>
      <c r="AP9" s="28">
        <v>36705</v>
      </c>
      <c r="AQ9" s="28">
        <v>36728</v>
      </c>
      <c r="AR9" s="39">
        <f t="shared" si="5"/>
        <v>3.2857142857142856</v>
      </c>
      <c r="AS9" s="20">
        <v>10</v>
      </c>
      <c r="AT9" s="20">
        <v>5</v>
      </c>
      <c r="AU9" s="20">
        <f t="shared" si="6"/>
        <v>50</v>
      </c>
      <c r="AV9" s="20">
        <v>0</v>
      </c>
      <c r="AW9" s="27">
        <v>0</v>
      </c>
      <c r="AX9" s="20">
        <v>1</v>
      </c>
      <c r="AY9" s="20">
        <v>0</v>
      </c>
      <c r="AZ9" s="20">
        <v>0</v>
      </c>
      <c r="BA9" s="20">
        <v>0</v>
      </c>
      <c r="BB9" s="20">
        <v>0</v>
      </c>
      <c r="BC9" s="20">
        <v>1</v>
      </c>
      <c r="BD9" s="20">
        <v>0</v>
      </c>
      <c r="BE9" s="29"/>
      <c r="BF9" s="48">
        <v>38128</v>
      </c>
      <c r="BG9" s="196">
        <v>38199</v>
      </c>
      <c r="BH9" s="196" t="s">
        <v>537</v>
      </c>
      <c r="BI9" s="2"/>
      <c r="BJ9" s="35">
        <f t="shared" si="7"/>
        <v>49.774127310061601</v>
      </c>
      <c r="BK9" s="35">
        <f t="shared" si="8"/>
        <v>1515</v>
      </c>
      <c r="BL9" s="35">
        <v>0</v>
      </c>
      <c r="BM9" s="17"/>
      <c r="BN9" s="35"/>
      <c r="BO9" s="35">
        <f t="shared" si="15"/>
        <v>47.441478439425055</v>
      </c>
      <c r="BP9" s="35">
        <f t="shared" si="9"/>
        <v>1444</v>
      </c>
      <c r="BQ9" s="35">
        <v>0</v>
      </c>
      <c r="BR9" s="17"/>
      <c r="BS9" s="11">
        <f t="shared" si="10"/>
        <v>47.441478439425055</v>
      </c>
      <c r="BT9" s="35">
        <f t="shared" si="11"/>
        <v>1444</v>
      </c>
      <c r="BU9" s="35">
        <f t="shared" si="12"/>
        <v>0</v>
      </c>
      <c r="BV9" s="35">
        <v>1</v>
      </c>
      <c r="BW9" s="35">
        <v>1</v>
      </c>
      <c r="BX9" s="17"/>
      <c r="BY9" s="35">
        <f>(BF9-I9)/365.25*12</f>
        <v>47.441478439425055</v>
      </c>
      <c r="BZ9" s="35">
        <f t="shared" si="13"/>
        <v>1444</v>
      </c>
      <c r="CA9" s="35">
        <f t="shared" si="16"/>
        <v>0</v>
      </c>
      <c r="CB9" s="17"/>
      <c r="CC9" s="35">
        <f t="shared" si="17"/>
        <v>47.441478439425055</v>
      </c>
      <c r="CD9" s="35">
        <f t="shared" si="18"/>
        <v>1444</v>
      </c>
      <c r="CE9" s="2"/>
      <c r="CF9" s="19"/>
      <c r="CG9" s="35">
        <v>1</v>
      </c>
      <c r="CH9" s="43">
        <f>1.34+1.23+7.13</f>
        <v>9.6999999999999993</v>
      </c>
      <c r="CI9" s="19" t="s">
        <v>490</v>
      </c>
      <c r="CJ9" s="19"/>
      <c r="CK9" s="20" t="s">
        <v>363</v>
      </c>
      <c r="CL9" s="20" t="s">
        <v>363</v>
      </c>
      <c r="CM9" s="20" t="s">
        <v>408</v>
      </c>
      <c r="CN9" s="17">
        <v>36971</v>
      </c>
      <c r="CO9" s="35">
        <v>1</v>
      </c>
      <c r="CP9" s="35">
        <f>(CN9-AP9)*12/365.25</f>
        <v>8.7392197125256672</v>
      </c>
      <c r="CQ9" s="35" t="s">
        <v>389</v>
      </c>
      <c r="CR9" s="2" t="s">
        <v>527</v>
      </c>
    </row>
    <row r="10" spans="1:96" s="113" customFormat="1" ht="25.5">
      <c r="A10" s="1" t="s">
        <v>437</v>
      </c>
      <c r="B10" s="1" t="s">
        <v>462</v>
      </c>
      <c r="C10" s="27">
        <v>16</v>
      </c>
      <c r="D10" s="27">
        <v>8</v>
      </c>
      <c r="E10" s="27">
        <v>8700</v>
      </c>
      <c r="F10" s="28">
        <v>17739</v>
      </c>
      <c r="G10" s="1">
        <v>2237345</v>
      </c>
      <c r="H10" s="27" t="s">
        <v>121</v>
      </c>
      <c r="I10" s="29">
        <v>36727</v>
      </c>
      <c r="J10" s="16">
        <f t="shared" si="0"/>
        <v>51.986310746064341</v>
      </c>
      <c r="K10" s="35">
        <v>1</v>
      </c>
      <c r="L10" s="34" t="s">
        <v>49</v>
      </c>
      <c r="M10" s="2" t="s">
        <v>122</v>
      </c>
      <c r="N10" s="35" t="s">
        <v>403</v>
      </c>
      <c r="O10" s="35">
        <v>0</v>
      </c>
      <c r="P10" s="35">
        <v>0</v>
      </c>
      <c r="Q10" s="35">
        <v>1</v>
      </c>
      <c r="R10" s="35">
        <v>0</v>
      </c>
      <c r="S10" s="35">
        <v>0</v>
      </c>
      <c r="T10" s="30" t="s">
        <v>475</v>
      </c>
      <c r="U10" s="37" t="s">
        <v>402</v>
      </c>
      <c r="V10" s="37">
        <v>1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1">
        <v>34164</v>
      </c>
      <c r="AC10" s="10">
        <v>36673</v>
      </c>
      <c r="AD10" s="11">
        <f t="shared" si="1"/>
        <v>82.431211498973298</v>
      </c>
      <c r="AE10" s="11">
        <v>0</v>
      </c>
      <c r="AF10" s="11">
        <v>0</v>
      </c>
      <c r="AG10" s="10" t="s">
        <v>387</v>
      </c>
      <c r="AH10" s="35">
        <v>1</v>
      </c>
      <c r="AI10" s="30" t="s">
        <v>40</v>
      </c>
      <c r="AJ10" s="10">
        <v>36673</v>
      </c>
      <c r="AK10" s="11">
        <f t="shared" si="2"/>
        <v>1.7741273100616017</v>
      </c>
      <c r="AL10" s="11">
        <f t="shared" si="3"/>
        <v>0</v>
      </c>
      <c r="AM10" s="11">
        <f t="shared" si="4"/>
        <v>84.205338809034913</v>
      </c>
      <c r="AN10" s="2">
        <v>2</v>
      </c>
      <c r="AO10" s="2">
        <v>0</v>
      </c>
      <c r="AP10" s="28">
        <v>36759</v>
      </c>
      <c r="AQ10" s="28">
        <v>36778</v>
      </c>
      <c r="AR10" s="39">
        <f t="shared" si="5"/>
        <v>2.7142857142857144</v>
      </c>
      <c r="AS10" s="20">
        <v>10</v>
      </c>
      <c r="AT10" s="20">
        <v>3</v>
      </c>
      <c r="AU10" s="20">
        <f t="shared" si="6"/>
        <v>30</v>
      </c>
      <c r="AV10" s="20">
        <v>0</v>
      </c>
      <c r="AW10" s="27">
        <v>0</v>
      </c>
      <c r="AX10" s="20">
        <v>0</v>
      </c>
      <c r="AY10" s="20">
        <v>0</v>
      </c>
      <c r="AZ10" s="20">
        <v>0</v>
      </c>
      <c r="BA10" s="20">
        <v>1</v>
      </c>
      <c r="BB10" s="20">
        <v>0</v>
      </c>
      <c r="BC10" s="20">
        <v>1</v>
      </c>
      <c r="BD10" s="20">
        <v>0</v>
      </c>
      <c r="BE10" s="29"/>
      <c r="BF10" s="48">
        <v>38058</v>
      </c>
      <c r="BG10" s="196">
        <v>38199</v>
      </c>
      <c r="BH10" s="196" t="s">
        <v>537</v>
      </c>
      <c r="BI10" s="2"/>
      <c r="BJ10" s="35">
        <f t="shared" si="7"/>
        <v>48.361396303901429</v>
      </c>
      <c r="BK10" s="35">
        <f t="shared" si="8"/>
        <v>1471.9999999999998</v>
      </c>
      <c r="BL10" s="35">
        <v>0</v>
      </c>
      <c r="BM10" s="17"/>
      <c r="BN10" s="35"/>
      <c r="BO10" s="35">
        <f t="shared" si="15"/>
        <v>43.728952772073924</v>
      </c>
      <c r="BP10" s="35">
        <f t="shared" si="9"/>
        <v>1331</v>
      </c>
      <c r="BQ10" s="35">
        <v>0</v>
      </c>
      <c r="BR10" s="17"/>
      <c r="BS10" s="11">
        <f t="shared" si="10"/>
        <v>43.728952772073924</v>
      </c>
      <c r="BT10" s="35">
        <f t="shared" si="11"/>
        <v>1331</v>
      </c>
      <c r="BU10" s="35">
        <f t="shared" si="12"/>
        <v>0</v>
      </c>
      <c r="BV10" s="35">
        <v>1</v>
      </c>
      <c r="BW10" s="35">
        <v>1</v>
      </c>
      <c r="BX10" s="17"/>
      <c r="BY10" s="35">
        <f>(BF10-I10)/365.25*12</f>
        <v>43.728952772073924</v>
      </c>
      <c r="BZ10" s="35">
        <f t="shared" si="13"/>
        <v>1331</v>
      </c>
      <c r="CA10" s="35">
        <f t="shared" si="16"/>
        <v>0</v>
      </c>
      <c r="CB10" s="17"/>
      <c r="CC10" s="35">
        <f t="shared" si="17"/>
        <v>43.728952772073924</v>
      </c>
      <c r="CD10" s="35">
        <f t="shared" si="18"/>
        <v>1331</v>
      </c>
      <c r="CE10" s="2"/>
      <c r="CF10" s="19"/>
      <c r="CG10" s="35">
        <v>3</v>
      </c>
      <c r="CH10" s="47">
        <f>24+0.25*62.27</f>
        <v>39.567500000000003</v>
      </c>
      <c r="CI10" s="19"/>
      <c r="CJ10" s="19"/>
      <c r="CK10" s="20">
        <v>0</v>
      </c>
      <c r="CL10" s="20"/>
      <c r="CM10" s="20" t="s">
        <v>408</v>
      </c>
      <c r="CN10" s="17"/>
      <c r="CO10" s="35">
        <v>0</v>
      </c>
      <c r="CP10" s="17"/>
      <c r="CQ10" s="17" t="s">
        <v>408</v>
      </c>
      <c r="CR10" s="19"/>
    </row>
    <row r="11" spans="1:96" s="113" customFormat="1" ht="38.25">
      <c r="A11" s="75" t="s">
        <v>439</v>
      </c>
      <c r="B11" s="75" t="s">
        <v>464</v>
      </c>
      <c r="C11" s="76">
        <v>18</v>
      </c>
      <c r="D11" s="76">
        <v>9</v>
      </c>
      <c r="E11" s="76">
        <v>8700</v>
      </c>
      <c r="F11" s="77">
        <v>23199</v>
      </c>
      <c r="G11" s="75">
        <v>2243285</v>
      </c>
      <c r="H11" s="76" t="s">
        <v>121</v>
      </c>
      <c r="I11" s="78">
        <v>36760</v>
      </c>
      <c r="J11" s="79">
        <f t="shared" si="0"/>
        <v>37.127994524298423</v>
      </c>
      <c r="K11" s="80">
        <v>1</v>
      </c>
      <c r="L11" s="81" t="s">
        <v>49</v>
      </c>
      <c r="M11" s="82" t="s">
        <v>122</v>
      </c>
      <c r="N11" s="80" t="s">
        <v>403</v>
      </c>
      <c r="O11" s="80">
        <v>0</v>
      </c>
      <c r="P11" s="80">
        <v>0</v>
      </c>
      <c r="Q11" s="80">
        <v>1</v>
      </c>
      <c r="R11" s="80">
        <v>0</v>
      </c>
      <c r="S11" s="80">
        <v>0</v>
      </c>
      <c r="T11" s="83" t="s">
        <v>477</v>
      </c>
      <c r="U11" s="84" t="s">
        <v>402</v>
      </c>
      <c r="V11" s="84">
        <v>1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5">
        <v>34681</v>
      </c>
      <c r="AC11" s="86">
        <v>36697</v>
      </c>
      <c r="AD11" s="87">
        <f t="shared" si="1"/>
        <v>66.234086242299796</v>
      </c>
      <c r="AE11" s="87">
        <v>0</v>
      </c>
      <c r="AF11" s="87">
        <v>0</v>
      </c>
      <c r="AG11" s="86" t="s">
        <v>387</v>
      </c>
      <c r="AH11" s="80">
        <v>1</v>
      </c>
      <c r="AI11" s="83" t="s">
        <v>327</v>
      </c>
      <c r="AJ11" s="86">
        <v>36697</v>
      </c>
      <c r="AK11" s="87">
        <f t="shared" si="2"/>
        <v>2.0698151950718686</v>
      </c>
      <c r="AL11" s="87">
        <f t="shared" si="3"/>
        <v>0</v>
      </c>
      <c r="AM11" s="87">
        <f t="shared" si="4"/>
        <v>68.303901437371664</v>
      </c>
      <c r="AN11" s="82">
        <v>4</v>
      </c>
      <c r="AO11" s="82">
        <v>0</v>
      </c>
      <c r="AP11" s="77">
        <v>36775</v>
      </c>
      <c r="AQ11" s="77">
        <v>36781</v>
      </c>
      <c r="AR11" s="88">
        <f t="shared" si="5"/>
        <v>0.8571428571428571</v>
      </c>
      <c r="AS11" s="89">
        <v>8</v>
      </c>
      <c r="AT11" s="89">
        <v>5</v>
      </c>
      <c r="AU11" s="89">
        <f t="shared" si="6"/>
        <v>40</v>
      </c>
      <c r="AV11" s="89">
        <v>1</v>
      </c>
      <c r="AW11" s="76">
        <v>1</v>
      </c>
      <c r="AX11" s="89">
        <v>1</v>
      </c>
      <c r="AY11" s="89">
        <v>0</v>
      </c>
      <c r="AZ11" s="89">
        <v>0</v>
      </c>
      <c r="BA11" s="89">
        <v>0</v>
      </c>
      <c r="BB11" s="89">
        <v>0</v>
      </c>
      <c r="BC11" s="89">
        <v>3</v>
      </c>
      <c r="BD11" s="89">
        <v>0</v>
      </c>
      <c r="BE11" s="78"/>
      <c r="BF11" s="147">
        <v>38153</v>
      </c>
      <c r="BG11" s="197">
        <v>38199</v>
      </c>
      <c r="BH11" s="197" t="s">
        <v>537</v>
      </c>
      <c r="BI11" s="82"/>
      <c r="BJ11" s="80">
        <f t="shared" si="7"/>
        <v>47.277207392197127</v>
      </c>
      <c r="BK11" s="80">
        <f t="shared" si="8"/>
        <v>1439</v>
      </c>
      <c r="BL11" s="80">
        <v>0</v>
      </c>
      <c r="BM11" s="91"/>
      <c r="BN11" s="80"/>
      <c r="BO11" s="80">
        <f t="shared" si="15"/>
        <v>45.765913757700204</v>
      </c>
      <c r="BP11" s="80">
        <f t="shared" si="9"/>
        <v>1393</v>
      </c>
      <c r="BQ11" s="80">
        <v>1</v>
      </c>
      <c r="BR11" s="91">
        <v>37887</v>
      </c>
      <c r="BS11" s="87">
        <f>(BR11-I11)*12/365.25</f>
        <v>37.026694045174537</v>
      </c>
      <c r="BT11" s="80">
        <f t="shared" si="11"/>
        <v>1127</v>
      </c>
      <c r="BU11" s="80">
        <f t="shared" si="12"/>
        <v>1</v>
      </c>
      <c r="BV11" s="80">
        <v>0</v>
      </c>
      <c r="BW11" s="80">
        <v>0</v>
      </c>
      <c r="BX11" s="91">
        <v>37887</v>
      </c>
      <c r="BY11" s="80">
        <f>(BX11-I11)*12/365.25</f>
        <v>37.026694045174537</v>
      </c>
      <c r="BZ11" s="80">
        <f t="shared" si="13"/>
        <v>1127</v>
      </c>
      <c r="CA11" s="80">
        <f t="shared" si="16"/>
        <v>1</v>
      </c>
      <c r="CB11" s="91">
        <v>37887</v>
      </c>
      <c r="CC11" s="80">
        <f t="shared" si="17"/>
        <v>37.026694045174537</v>
      </c>
      <c r="CD11" s="80">
        <f t="shared" si="18"/>
        <v>1127</v>
      </c>
      <c r="CE11" s="82"/>
      <c r="CF11" s="92"/>
      <c r="CG11" s="80">
        <v>4</v>
      </c>
      <c r="CH11" s="93">
        <f>26.41+57.83+0.01+1.94</f>
        <v>86.19</v>
      </c>
      <c r="CI11" s="92" t="s">
        <v>487</v>
      </c>
      <c r="CJ11" s="92" t="s">
        <v>491</v>
      </c>
      <c r="CK11" s="89" t="s">
        <v>363</v>
      </c>
      <c r="CL11" s="89"/>
      <c r="CM11" s="89" t="s">
        <v>408</v>
      </c>
      <c r="CN11" s="91">
        <v>37026</v>
      </c>
      <c r="CO11" s="80">
        <v>1</v>
      </c>
      <c r="CP11" s="80">
        <f>(CN11-AP11)*12/365.25</f>
        <v>8.2464065708418897</v>
      </c>
      <c r="CQ11" s="80" t="s">
        <v>389</v>
      </c>
      <c r="CR11" s="148" t="s">
        <v>492</v>
      </c>
    </row>
    <row r="12" spans="1:96" s="113" customFormat="1" ht="25.5">
      <c r="A12" s="1" t="s">
        <v>440</v>
      </c>
      <c r="B12" s="1" t="s">
        <v>262</v>
      </c>
      <c r="C12" s="27">
        <v>19</v>
      </c>
      <c r="D12" s="27">
        <v>10</v>
      </c>
      <c r="E12" s="27">
        <v>8700</v>
      </c>
      <c r="F12" s="28">
        <v>19312</v>
      </c>
      <c r="G12" s="1">
        <v>1434569</v>
      </c>
      <c r="H12" s="27" t="s">
        <v>121</v>
      </c>
      <c r="I12" s="29">
        <v>37190</v>
      </c>
      <c r="J12" s="16">
        <f t="shared" si="0"/>
        <v>48.947296372347708</v>
      </c>
      <c r="K12" s="35">
        <v>1</v>
      </c>
      <c r="L12" s="34" t="s">
        <v>34</v>
      </c>
      <c r="M12" s="2" t="s">
        <v>122</v>
      </c>
      <c r="N12" s="35" t="s">
        <v>403</v>
      </c>
      <c r="O12" s="35">
        <v>0</v>
      </c>
      <c r="P12" s="35">
        <v>0</v>
      </c>
      <c r="Q12" s="35">
        <v>1</v>
      </c>
      <c r="R12" s="35">
        <v>0</v>
      </c>
      <c r="S12" s="35">
        <v>0</v>
      </c>
      <c r="T12" s="30" t="s">
        <v>475</v>
      </c>
      <c r="U12" s="37" t="s">
        <v>402</v>
      </c>
      <c r="V12" s="37">
        <v>1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1">
        <v>33124</v>
      </c>
      <c r="AC12" s="10">
        <v>36311</v>
      </c>
      <c r="AD12" s="11">
        <f t="shared" si="1"/>
        <v>104.70636550308006</v>
      </c>
      <c r="AE12" s="11">
        <v>0</v>
      </c>
      <c r="AF12" s="11">
        <v>0</v>
      </c>
      <c r="AG12" s="10" t="s">
        <v>387</v>
      </c>
      <c r="AH12" s="35">
        <v>1</v>
      </c>
      <c r="AI12" s="30" t="s">
        <v>482</v>
      </c>
      <c r="AJ12" s="10">
        <v>36311</v>
      </c>
      <c r="AK12" s="11">
        <f t="shared" si="2"/>
        <v>28.878850102669404</v>
      </c>
      <c r="AL12" s="11">
        <f t="shared" si="3"/>
        <v>0</v>
      </c>
      <c r="AM12" s="11">
        <f t="shared" si="4"/>
        <v>133.58521560574948</v>
      </c>
      <c r="AN12" s="2">
        <v>3</v>
      </c>
      <c r="AO12" s="2">
        <v>0</v>
      </c>
      <c r="AP12" s="28">
        <v>37217</v>
      </c>
      <c r="AQ12" s="28">
        <v>37231</v>
      </c>
      <c r="AR12" s="39">
        <f t="shared" si="5"/>
        <v>2</v>
      </c>
      <c r="AS12" s="20">
        <v>10</v>
      </c>
      <c r="AT12" s="20">
        <v>3.5</v>
      </c>
      <c r="AU12" s="20">
        <f t="shared" si="6"/>
        <v>35</v>
      </c>
      <c r="AV12" s="20">
        <v>0</v>
      </c>
      <c r="AW12" s="27">
        <v>1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1</v>
      </c>
      <c r="BD12" s="20">
        <v>0</v>
      </c>
      <c r="BE12" s="29"/>
      <c r="BF12" s="17">
        <v>38092</v>
      </c>
      <c r="BG12" s="196">
        <v>38138</v>
      </c>
      <c r="BH12" s="196" t="s">
        <v>537</v>
      </c>
      <c r="BI12" s="2"/>
      <c r="BJ12" s="35">
        <f t="shared" si="7"/>
        <v>31.145790554414781</v>
      </c>
      <c r="BK12" s="35">
        <f t="shared" si="8"/>
        <v>947.99999999999989</v>
      </c>
      <c r="BL12" s="35">
        <v>0</v>
      </c>
      <c r="BM12" s="17"/>
      <c r="BN12" s="35"/>
      <c r="BO12" s="35">
        <f t="shared" si="15"/>
        <v>29.634496919917865</v>
      </c>
      <c r="BP12" s="35">
        <f t="shared" si="9"/>
        <v>902</v>
      </c>
      <c r="BQ12" s="35">
        <v>1</v>
      </c>
      <c r="BR12" s="17">
        <v>37421</v>
      </c>
      <c r="BS12" s="11">
        <f>(BR12-I12)*12/365.25</f>
        <v>7.5893223819301845</v>
      </c>
      <c r="BT12" s="35">
        <f t="shared" si="11"/>
        <v>231</v>
      </c>
      <c r="BU12" s="35">
        <v>1</v>
      </c>
      <c r="BV12" s="35">
        <v>0</v>
      </c>
      <c r="BW12" s="35">
        <v>0</v>
      </c>
      <c r="BX12" s="17">
        <f>BR12</f>
        <v>37421</v>
      </c>
      <c r="BY12" s="35">
        <f>(BX12-I12)*12/365.25</f>
        <v>7.5893223819301845</v>
      </c>
      <c r="BZ12" s="35">
        <f t="shared" si="13"/>
        <v>231</v>
      </c>
      <c r="CA12" s="35">
        <f t="shared" si="16"/>
        <v>1</v>
      </c>
      <c r="CB12" s="17">
        <f>BX12</f>
        <v>37421</v>
      </c>
      <c r="CC12" s="35">
        <f t="shared" si="17"/>
        <v>7.5893223819301845</v>
      </c>
      <c r="CD12" s="35">
        <f t="shared" si="18"/>
        <v>231</v>
      </c>
      <c r="CE12" s="2"/>
      <c r="CF12" s="19"/>
      <c r="CG12" s="35">
        <v>3</v>
      </c>
      <c r="CH12" s="43">
        <f>28.75+13.23</f>
        <v>41.980000000000004</v>
      </c>
      <c r="CI12" s="19"/>
      <c r="CJ12" s="19"/>
      <c r="CK12" s="20" t="s">
        <v>364</v>
      </c>
      <c r="CL12" s="20"/>
      <c r="CM12" s="20" t="s">
        <v>408</v>
      </c>
      <c r="CN12" s="17"/>
      <c r="CO12" s="35">
        <v>0</v>
      </c>
      <c r="CP12" s="17"/>
      <c r="CQ12" s="17" t="s">
        <v>408</v>
      </c>
      <c r="CR12" s="19"/>
    </row>
    <row r="13" spans="1:96" s="113" customFormat="1" ht="25.5">
      <c r="A13" s="1" t="s">
        <v>441</v>
      </c>
      <c r="B13" s="1" t="s">
        <v>465</v>
      </c>
      <c r="C13" s="27">
        <v>20</v>
      </c>
      <c r="D13" s="27">
        <v>11</v>
      </c>
      <c r="E13" s="27">
        <v>8700</v>
      </c>
      <c r="F13" s="28">
        <v>22429</v>
      </c>
      <c r="G13" s="1">
        <v>1904822</v>
      </c>
      <c r="H13" s="27" t="s">
        <v>121</v>
      </c>
      <c r="I13" s="29">
        <v>36839</v>
      </c>
      <c r="J13" s="16">
        <f t="shared" si="0"/>
        <v>39.452429842573579</v>
      </c>
      <c r="K13" s="35">
        <v>1</v>
      </c>
      <c r="L13" s="34" t="s">
        <v>49</v>
      </c>
      <c r="M13" s="2" t="s">
        <v>122</v>
      </c>
      <c r="N13" s="35" t="s">
        <v>403</v>
      </c>
      <c r="O13" s="35">
        <v>0</v>
      </c>
      <c r="P13" s="35">
        <v>0</v>
      </c>
      <c r="Q13" s="35">
        <v>1</v>
      </c>
      <c r="R13" s="35">
        <v>0</v>
      </c>
      <c r="S13" s="35">
        <v>0</v>
      </c>
      <c r="T13" s="30" t="s">
        <v>475</v>
      </c>
      <c r="U13" s="37" t="s">
        <v>402</v>
      </c>
      <c r="V13" s="37">
        <v>1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1">
        <v>36665</v>
      </c>
      <c r="AC13" s="10">
        <v>36665</v>
      </c>
      <c r="AD13" s="11">
        <f t="shared" si="1"/>
        <v>0</v>
      </c>
      <c r="AE13" s="11">
        <v>0</v>
      </c>
      <c r="AF13" s="11">
        <v>0</v>
      </c>
      <c r="AG13" s="10" t="s">
        <v>389</v>
      </c>
      <c r="AH13" s="35">
        <v>1</v>
      </c>
      <c r="AI13" s="30" t="s">
        <v>40</v>
      </c>
      <c r="AJ13" s="10">
        <v>36665</v>
      </c>
      <c r="AK13" s="11">
        <f t="shared" si="2"/>
        <v>5.7166324435318279</v>
      </c>
      <c r="AL13" s="11">
        <f t="shared" si="3"/>
        <v>0</v>
      </c>
      <c r="AM13" s="11">
        <f t="shared" si="4"/>
        <v>5.7166324435318279</v>
      </c>
      <c r="AN13" s="2">
        <v>1</v>
      </c>
      <c r="AO13" s="2">
        <v>1</v>
      </c>
      <c r="AP13" s="28">
        <v>36924</v>
      </c>
      <c r="AQ13" s="28">
        <v>36930</v>
      </c>
      <c r="AR13" s="39">
        <f t="shared" si="5"/>
        <v>0.8571428571428571</v>
      </c>
      <c r="AS13" s="20">
        <v>5</v>
      </c>
      <c r="AT13" s="20">
        <v>8</v>
      </c>
      <c r="AU13" s="20">
        <f t="shared" si="6"/>
        <v>40</v>
      </c>
      <c r="AV13" s="20">
        <v>0</v>
      </c>
      <c r="AW13" s="27">
        <v>0</v>
      </c>
      <c r="AX13" s="20">
        <v>0</v>
      </c>
      <c r="AY13" s="20">
        <v>0</v>
      </c>
      <c r="AZ13" s="20">
        <v>0</v>
      </c>
      <c r="BA13" s="20">
        <v>1</v>
      </c>
      <c r="BB13" s="20">
        <v>0</v>
      </c>
      <c r="BC13" s="20">
        <v>1</v>
      </c>
      <c r="BD13" s="20">
        <v>0</v>
      </c>
      <c r="BE13" s="29"/>
      <c r="BF13" s="48">
        <v>38066</v>
      </c>
      <c r="BG13" s="196">
        <v>38199</v>
      </c>
      <c r="BH13" s="196" t="s">
        <v>537</v>
      </c>
      <c r="BI13" s="2"/>
      <c r="BJ13" s="35">
        <f t="shared" si="7"/>
        <v>44.681724845995888</v>
      </c>
      <c r="BK13" s="35">
        <f t="shared" si="8"/>
        <v>1359.9999999999998</v>
      </c>
      <c r="BL13" s="35">
        <v>0</v>
      </c>
      <c r="BM13" s="17"/>
      <c r="BN13" s="35"/>
      <c r="BO13" s="35">
        <f t="shared" si="15"/>
        <v>40.312114989733061</v>
      </c>
      <c r="BP13" s="35">
        <f t="shared" si="9"/>
        <v>1227</v>
      </c>
      <c r="BQ13" s="35">
        <v>0</v>
      </c>
      <c r="BR13" s="17"/>
      <c r="BS13" s="11">
        <f>(BF13-I13)/365.25*12</f>
        <v>40.312114989733061</v>
      </c>
      <c r="BT13" s="35">
        <f t="shared" si="11"/>
        <v>1227</v>
      </c>
      <c r="BU13" s="35">
        <f t="shared" ref="BU13:BU23" si="19">BQ13+BL13</f>
        <v>0</v>
      </c>
      <c r="BV13" s="35">
        <v>1</v>
      </c>
      <c r="BW13" s="35">
        <v>1</v>
      </c>
      <c r="BX13" s="17"/>
      <c r="BY13" s="35">
        <f>(BF13-I13)/365.25*12</f>
        <v>40.312114989733061</v>
      </c>
      <c r="BZ13" s="35">
        <f t="shared" si="13"/>
        <v>1227</v>
      </c>
      <c r="CA13" s="35">
        <f t="shared" si="16"/>
        <v>0</v>
      </c>
      <c r="CB13" s="17"/>
      <c r="CC13" s="35">
        <f t="shared" si="17"/>
        <v>40.312114989733061</v>
      </c>
      <c r="CD13" s="35">
        <f t="shared" si="18"/>
        <v>1227</v>
      </c>
      <c r="CE13" s="2"/>
      <c r="CF13" s="19"/>
      <c r="CG13" s="35">
        <v>2</v>
      </c>
      <c r="CH13" s="47">
        <v>20</v>
      </c>
      <c r="CI13" s="19"/>
      <c r="CJ13" s="19"/>
      <c r="CK13" s="20">
        <v>0</v>
      </c>
      <c r="CL13" s="20"/>
      <c r="CM13" s="20" t="s">
        <v>408</v>
      </c>
      <c r="CN13" s="17"/>
      <c r="CO13" s="35">
        <v>0</v>
      </c>
      <c r="CP13" s="17"/>
      <c r="CQ13" s="17" t="s">
        <v>408</v>
      </c>
      <c r="CR13" s="19"/>
    </row>
    <row r="14" spans="1:96" s="60" customFormat="1" ht="25.5">
      <c r="A14" s="136" t="s">
        <v>442</v>
      </c>
      <c r="B14" s="136" t="s">
        <v>77</v>
      </c>
      <c r="C14" s="52">
        <v>21</v>
      </c>
      <c r="D14" s="52">
        <v>12</v>
      </c>
      <c r="E14" s="52">
        <v>8700</v>
      </c>
      <c r="F14" s="137">
        <v>12337</v>
      </c>
      <c r="G14" s="136">
        <v>1248244</v>
      </c>
      <c r="H14" s="52" t="s">
        <v>121</v>
      </c>
      <c r="I14" s="138">
        <v>36998</v>
      </c>
      <c r="J14" s="139">
        <f t="shared" si="0"/>
        <v>67.518138261464756</v>
      </c>
      <c r="K14" s="53">
        <v>1</v>
      </c>
      <c r="L14" s="140" t="s">
        <v>34</v>
      </c>
      <c r="M14" s="54" t="s">
        <v>122</v>
      </c>
      <c r="N14" s="53" t="s">
        <v>403</v>
      </c>
      <c r="O14" s="53">
        <v>0</v>
      </c>
      <c r="P14" s="53">
        <v>0</v>
      </c>
      <c r="Q14" s="53">
        <v>1</v>
      </c>
      <c r="R14" s="53">
        <v>0</v>
      </c>
      <c r="S14" s="53">
        <v>0</v>
      </c>
      <c r="T14" s="141" t="s">
        <v>475</v>
      </c>
      <c r="U14" s="55" t="s">
        <v>402</v>
      </c>
      <c r="V14" s="55">
        <v>1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142">
        <v>34134</v>
      </c>
      <c r="AC14" s="56">
        <v>34652</v>
      </c>
      <c r="AD14" s="57">
        <f t="shared" si="1"/>
        <v>17.01848049281314</v>
      </c>
      <c r="AE14" s="57">
        <v>0</v>
      </c>
      <c r="AF14" s="57">
        <v>0</v>
      </c>
      <c r="AG14" s="56" t="s">
        <v>390</v>
      </c>
      <c r="AH14" s="53">
        <v>1</v>
      </c>
      <c r="AI14" s="141" t="s">
        <v>327</v>
      </c>
      <c r="AJ14" s="56">
        <v>34652</v>
      </c>
      <c r="AK14" s="57">
        <f t="shared" si="2"/>
        <v>77.07597535934292</v>
      </c>
      <c r="AL14" s="57">
        <f t="shared" si="3"/>
        <v>0</v>
      </c>
      <c r="AM14" s="57">
        <f t="shared" si="4"/>
        <v>94.094455852156059</v>
      </c>
      <c r="AN14" s="54">
        <v>2</v>
      </c>
      <c r="AO14" s="54">
        <v>0</v>
      </c>
      <c r="AP14" s="137">
        <v>37026</v>
      </c>
      <c r="AQ14" s="137">
        <v>37037</v>
      </c>
      <c r="AR14" s="143">
        <f t="shared" si="5"/>
        <v>1.5714285714285714</v>
      </c>
      <c r="AS14" s="58">
        <v>10</v>
      </c>
      <c r="AT14" s="58">
        <v>4</v>
      </c>
      <c r="AU14" s="58">
        <f t="shared" si="6"/>
        <v>40</v>
      </c>
      <c r="AV14" s="58">
        <v>1</v>
      </c>
      <c r="AW14" s="52">
        <v>0</v>
      </c>
      <c r="AX14" s="58">
        <v>0</v>
      </c>
      <c r="AY14" s="58">
        <v>0</v>
      </c>
      <c r="AZ14" s="58">
        <v>0</v>
      </c>
      <c r="BA14" s="58">
        <v>0</v>
      </c>
      <c r="BB14" s="58">
        <v>0</v>
      </c>
      <c r="BC14" s="58">
        <v>1</v>
      </c>
      <c r="BD14" s="58">
        <v>1</v>
      </c>
      <c r="BE14" s="138"/>
      <c r="BF14" s="59">
        <v>37993</v>
      </c>
      <c r="BG14" s="59">
        <v>38138</v>
      </c>
      <c r="BH14" s="200"/>
      <c r="BI14" s="54"/>
      <c r="BJ14" s="53">
        <f t="shared" si="7"/>
        <v>37.453798767967143</v>
      </c>
      <c r="BK14" s="53">
        <f t="shared" si="8"/>
        <v>1139.9999999999998</v>
      </c>
      <c r="BL14" s="53">
        <v>0</v>
      </c>
      <c r="BM14" s="59"/>
      <c r="BN14" s="53"/>
      <c r="BO14" s="53">
        <f t="shared" si="15"/>
        <v>32.689938398357292</v>
      </c>
      <c r="BP14" s="53">
        <f t="shared" si="9"/>
        <v>995</v>
      </c>
      <c r="BQ14" s="53">
        <v>1</v>
      </c>
      <c r="BR14" s="59">
        <v>37993</v>
      </c>
      <c r="BS14" s="57">
        <f>(BR14-I14)*12/365.25</f>
        <v>32.689938398357292</v>
      </c>
      <c r="BT14" s="53">
        <f t="shared" si="11"/>
        <v>995</v>
      </c>
      <c r="BU14" s="53">
        <f t="shared" si="19"/>
        <v>1</v>
      </c>
      <c r="BV14" s="53">
        <v>0</v>
      </c>
      <c r="BW14" s="53">
        <v>0</v>
      </c>
      <c r="BX14" s="59">
        <v>37993</v>
      </c>
      <c r="BY14" s="53">
        <f>(BX14-I14)*12/365.25</f>
        <v>32.689938398357292</v>
      </c>
      <c r="BZ14" s="53">
        <f t="shared" si="13"/>
        <v>995</v>
      </c>
      <c r="CA14" s="53">
        <f t="shared" si="16"/>
        <v>1</v>
      </c>
      <c r="CB14" s="59">
        <v>37993</v>
      </c>
      <c r="CC14" s="53">
        <f t="shared" si="17"/>
        <v>32.689938398357292</v>
      </c>
      <c r="CD14" s="53">
        <f t="shared" si="18"/>
        <v>995</v>
      </c>
      <c r="CE14" s="54"/>
      <c r="CF14" s="144"/>
      <c r="CG14" s="53">
        <v>1</v>
      </c>
      <c r="CH14" s="61">
        <f>1.47+2.91</f>
        <v>4.38</v>
      </c>
      <c r="CI14" s="144"/>
      <c r="CJ14" s="144"/>
      <c r="CK14" s="58">
        <v>0</v>
      </c>
      <c r="CL14" s="58"/>
      <c r="CM14" s="58" t="s">
        <v>408</v>
      </c>
      <c r="CN14" s="59"/>
      <c r="CO14" s="53">
        <v>0</v>
      </c>
      <c r="CP14" s="59"/>
      <c r="CQ14" s="59" t="s">
        <v>408</v>
      </c>
      <c r="CR14" s="144"/>
    </row>
    <row r="15" spans="1:96" ht="25.5">
      <c r="A15" s="136" t="s">
        <v>443</v>
      </c>
      <c r="B15" s="136" t="s">
        <v>453</v>
      </c>
      <c r="C15" s="52">
        <v>22</v>
      </c>
      <c r="D15" s="52">
        <v>13</v>
      </c>
      <c r="E15" s="52">
        <v>8700</v>
      </c>
      <c r="F15" s="137">
        <v>23421</v>
      </c>
      <c r="G15" s="136">
        <v>2295538</v>
      </c>
      <c r="H15" s="52" t="s">
        <v>121</v>
      </c>
      <c r="I15" s="138">
        <v>37009</v>
      </c>
      <c r="J15" s="139">
        <f t="shared" si="0"/>
        <v>37.201916495550989</v>
      </c>
      <c r="K15" s="53">
        <v>1</v>
      </c>
      <c r="L15" s="140" t="s">
        <v>49</v>
      </c>
      <c r="M15" s="54" t="s">
        <v>122</v>
      </c>
      <c r="N15" s="53" t="s">
        <v>403</v>
      </c>
      <c r="O15" s="53">
        <v>0</v>
      </c>
      <c r="P15" s="53">
        <v>0</v>
      </c>
      <c r="Q15" s="53">
        <v>1</v>
      </c>
      <c r="R15" s="53">
        <v>0</v>
      </c>
      <c r="S15" s="53">
        <v>0</v>
      </c>
      <c r="T15" s="141" t="s">
        <v>475</v>
      </c>
      <c r="U15" s="55" t="s">
        <v>402</v>
      </c>
      <c r="V15" s="55">
        <v>1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142">
        <v>36548</v>
      </c>
      <c r="AC15" s="56">
        <v>36548</v>
      </c>
      <c r="AD15" s="57">
        <f t="shared" si="1"/>
        <v>0</v>
      </c>
      <c r="AE15" s="57">
        <v>0</v>
      </c>
      <c r="AF15" s="57">
        <v>0</v>
      </c>
      <c r="AG15" s="56" t="s">
        <v>389</v>
      </c>
      <c r="AH15" s="53">
        <v>1</v>
      </c>
      <c r="AI15" s="141" t="s">
        <v>143</v>
      </c>
      <c r="AJ15" s="56">
        <v>36548</v>
      </c>
      <c r="AK15" s="57">
        <f t="shared" si="2"/>
        <v>15.145790554414784</v>
      </c>
      <c r="AL15" s="57">
        <f t="shared" si="3"/>
        <v>0</v>
      </c>
      <c r="AM15" s="57">
        <f t="shared" si="4"/>
        <v>15.145790554414784</v>
      </c>
      <c r="AN15" s="54">
        <v>5</v>
      </c>
      <c r="AO15" s="54">
        <v>0</v>
      </c>
      <c r="AP15" s="137">
        <v>37027</v>
      </c>
      <c r="AQ15" s="137">
        <v>37049</v>
      </c>
      <c r="AR15" s="143">
        <f t="shared" si="5"/>
        <v>3.1428571428571428</v>
      </c>
      <c r="AS15" s="58">
        <v>10</v>
      </c>
      <c r="AT15" s="58">
        <v>5</v>
      </c>
      <c r="AU15" s="58">
        <f t="shared" si="6"/>
        <v>50</v>
      </c>
      <c r="AV15" s="58">
        <v>0</v>
      </c>
      <c r="AW15" s="52">
        <v>0</v>
      </c>
      <c r="AX15" s="58">
        <v>1</v>
      </c>
      <c r="AY15" s="58">
        <v>0</v>
      </c>
      <c r="AZ15" s="58">
        <v>0</v>
      </c>
      <c r="BA15" s="58">
        <v>1</v>
      </c>
      <c r="BB15" s="58">
        <v>0</v>
      </c>
      <c r="BC15" s="58">
        <v>2</v>
      </c>
      <c r="BD15" s="58">
        <v>1</v>
      </c>
      <c r="BE15" s="138">
        <v>37832</v>
      </c>
      <c r="BF15" s="59">
        <v>37709</v>
      </c>
      <c r="BG15" s="59">
        <v>37832</v>
      </c>
      <c r="BH15" s="59"/>
      <c r="BI15" s="54"/>
      <c r="BJ15" s="53">
        <f t="shared" si="7"/>
        <v>27.039014373716633</v>
      </c>
      <c r="BK15" s="53">
        <f t="shared" si="8"/>
        <v>823</v>
      </c>
      <c r="BL15" s="53">
        <v>0</v>
      </c>
      <c r="BM15" s="59"/>
      <c r="BN15" s="53"/>
      <c r="BO15" s="53">
        <f t="shared" si="15"/>
        <v>22.997946611909651</v>
      </c>
      <c r="BP15" s="53">
        <f t="shared" si="9"/>
        <v>700</v>
      </c>
      <c r="BQ15" s="53">
        <v>1</v>
      </c>
      <c r="BR15" s="59">
        <v>37358</v>
      </c>
      <c r="BS15" s="57">
        <f>(BR15-I15)*12/365.25</f>
        <v>11.466119096509241</v>
      </c>
      <c r="BT15" s="53">
        <f t="shared" si="11"/>
        <v>349</v>
      </c>
      <c r="BU15" s="53">
        <f t="shared" si="19"/>
        <v>1</v>
      </c>
      <c r="BV15" s="53">
        <v>0</v>
      </c>
      <c r="BW15" s="53">
        <v>0</v>
      </c>
      <c r="BX15" s="59">
        <f>BR15</f>
        <v>37358</v>
      </c>
      <c r="BY15" s="53">
        <f>(BX15-I15)*12/365.25</f>
        <v>11.466119096509241</v>
      </c>
      <c r="BZ15" s="53">
        <f t="shared" si="13"/>
        <v>349</v>
      </c>
      <c r="CA15" s="53">
        <f t="shared" si="16"/>
        <v>1</v>
      </c>
      <c r="CB15" s="59">
        <f>BX15</f>
        <v>37358</v>
      </c>
      <c r="CC15" s="53">
        <f t="shared" si="17"/>
        <v>11.466119096509241</v>
      </c>
      <c r="CD15" s="53">
        <f t="shared" si="18"/>
        <v>349</v>
      </c>
      <c r="CE15" s="54"/>
      <c r="CF15" s="144"/>
      <c r="CG15" s="53">
        <v>3</v>
      </c>
      <c r="CH15" s="61">
        <f>29.3+1.32+1.12+5.8+5.38</f>
        <v>42.92</v>
      </c>
      <c r="CI15" s="144"/>
      <c r="CJ15" s="144" t="s">
        <v>488</v>
      </c>
      <c r="CK15" s="58" t="s">
        <v>363</v>
      </c>
      <c r="CL15" s="58"/>
      <c r="CM15" s="58" t="s">
        <v>408</v>
      </c>
      <c r="CN15" s="59">
        <v>37280</v>
      </c>
      <c r="CO15" s="53">
        <v>1</v>
      </c>
      <c r="CP15" s="53">
        <f>(CN15-AP15)*12/365.25</f>
        <v>8.3121149897330593</v>
      </c>
      <c r="CQ15" s="53" t="s">
        <v>389</v>
      </c>
      <c r="CR15" s="144"/>
    </row>
    <row r="16" spans="1:96" ht="25.5">
      <c r="A16" s="1" t="s">
        <v>445</v>
      </c>
      <c r="B16" s="1" t="s">
        <v>466</v>
      </c>
      <c r="C16" s="27">
        <v>24</v>
      </c>
      <c r="D16" s="27">
        <v>14</v>
      </c>
      <c r="E16" s="27">
        <v>8700</v>
      </c>
      <c r="F16" s="28">
        <v>24987</v>
      </c>
      <c r="G16" s="1">
        <v>2103381</v>
      </c>
      <c r="H16" s="27" t="s">
        <v>121</v>
      </c>
      <c r="I16" s="29">
        <v>37292</v>
      </c>
      <c r="J16" s="16">
        <f t="shared" si="0"/>
        <v>33.68925393566051</v>
      </c>
      <c r="K16" s="35">
        <v>1</v>
      </c>
      <c r="L16" s="34" t="s">
        <v>49</v>
      </c>
      <c r="M16" s="2" t="s">
        <v>122</v>
      </c>
      <c r="N16" s="35" t="s">
        <v>403</v>
      </c>
      <c r="O16" s="35">
        <v>0</v>
      </c>
      <c r="P16" s="35">
        <v>0</v>
      </c>
      <c r="Q16" s="35">
        <v>1</v>
      </c>
      <c r="R16" s="35">
        <v>0</v>
      </c>
      <c r="S16" s="35">
        <v>0</v>
      </c>
      <c r="T16" s="30" t="s">
        <v>475</v>
      </c>
      <c r="U16" s="37" t="s">
        <v>402</v>
      </c>
      <c r="V16" s="37">
        <v>1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1">
        <v>35885</v>
      </c>
      <c r="AC16" s="10">
        <v>36783</v>
      </c>
      <c r="AD16" s="11">
        <f t="shared" si="1"/>
        <v>29.503080082135526</v>
      </c>
      <c r="AE16" s="11">
        <v>0</v>
      </c>
      <c r="AF16" s="11">
        <v>0</v>
      </c>
      <c r="AG16" s="10" t="s">
        <v>387</v>
      </c>
      <c r="AH16" s="35">
        <v>1</v>
      </c>
      <c r="AI16" s="30" t="s">
        <v>483</v>
      </c>
      <c r="AJ16" s="10">
        <v>36783</v>
      </c>
      <c r="AK16" s="11">
        <f t="shared" si="2"/>
        <v>16.722792607802873</v>
      </c>
      <c r="AL16" s="11">
        <f t="shared" si="3"/>
        <v>0</v>
      </c>
      <c r="AM16" s="11">
        <f t="shared" si="4"/>
        <v>46.225872689938399</v>
      </c>
      <c r="AN16" s="2">
        <v>3</v>
      </c>
      <c r="AO16" s="2">
        <v>0</v>
      </c>
      <c r="AP16" s="28">
        <v>37302</v>
      </c>
      <c r="AQ16" s="28">
        <v>37315</v>
      </c>
      <c r="AR16" s="39">
        <f t="shared" si="5"/>
        <v>1.8571428571428572</v>
      </c>
      <c r="AS16" s="20">
        <v>5</v>
      </c>
      <c r="AT16" s="20">
        <v>8</v>
      </c>
      <c r="AU16" s="20">
        <f t="shared" si="6"/>
        <v>40</v>
      </c>
      <c r="AV16" s="20">
        <v>0</v>
      </c>
      <c r="AW16" s="27">
        <v>0</v>
      </c>
      <c r="AX16" s="20">
        <v>0</v>
      </c>
      <c r="AY16" s="20">
        <v>0</v>
      </c>
      <c r="AZ16" s="20">
        <v>0</v>
      </c>
      <c r="BA16" s="20">
        <v>1</v>
      </c>
      <c r="BB16" s="20">
        <v>0</v>
      </c>
      <c r="BC16" s="20">
        <v>2</v>
      </c>
      <c r="BD16" s="20">
        <v>0</v>
      </c>
      <c r="BE16" s="29"/>
      <c r="BF16" s="17">
        <v>38045</v>
      </c>
      <c r="BG16" s="196">
        <v>38199</v>
      </c>
      <c r="BH16" s="196" t="s">
        <v>537</v>
      </c>
      <c r="BI16" s="2"/>
      <c r="BJ16" s="35">
        <f t="shared" si="7"/>
        <v>29.798767967145789</v>
      </c>
      <c r="BK16" s="35">
        <f t="shared" si="8"/>
        <v>907</v>
      </c>
      <c r="BL16" s="35">
        <v>0</v>
      </c>
      <c r="BM16" s="17"/>
      <c r="BN16" s="35"/>
      <c r="BO16" s="35">
        <f t="shared" si="15"/>
        <v>24.739219712525667</v>
      </c>
      <c r="BP16" s="35">
        <f t="shared" si="9"/>
        <v>753</v>
      </c>
      <c r="BQ16" s="35">
        <v>1</v>
      </c>
      <c r="BR16" s="17">
        <v>37489</v>
      </c>
      <c r="BS16" s="11">
        <f>(BR16-I16)*12/365.25</f>
        <v>6.4722792607802875</v>
      </c>
      <c r="BT16" s="35">
        <f t="shared" si="11"/>
        <v>197</v>
      </c>
      <c r="BU16" s="35">
        <f t="shared" si="19"/>
        <v>1</v>
      </c>
      <c r="BV16" s="35">
        <v>0</v>
      </c>
      <c r="BW16" s="35">
        <v>0</v>
      </c>
      <c r="BX16" s="17">
        <f>BR16</f>
        <v>37489</v>
      </c>
      <c r="BY16" s="35">
        <f>(BX16-I16)*12/365.25</f>
        <v>6.4722792607802875</v>
      </c>
      <c r="BZ16" s="35">
        <f t="shared" si="13"/>
        <v>197</v>
      </c>
      <c r="CA16" s="35">
        <f t="shared" si="16"/>
        <v>1</v>
      </c>
      <c r="CB16" s="17">
        <f>BX16</f>
        <v>37489</v>
      </c>
      <c r="CC16" s="35">
        <f t="shared" si="17"/>
        <v>6.4722792607802875</v>
      </c>
      <c r="CD16" s="35">
        <f t="shared" si="18"/>
        <v>197</v>
      </c>
      <c r="CE16" s="2"/>
      <c r="CF16" s="19"/>
      <c r="CG16" s="35">
        <v>4</v>
      </c>
      <c r="CH16" s="43">
        <f>48.6+30.8</f>
        <v>79.400000000000006</v>
      </c>
      <c r="CI16" s="19"/>
      <c r="CJ16" s="19"/>
      <c r="CK16" s="20">
        <v>0</v>
      </c>
      <c r="CL16" s="20"/>
      <c r="CM16" s="20" t="s">
        <v>408</v>
      </c>
      <c r="CN16" s="17"/>
      <c r="CO16" s="35">
        <v>0</v>
      </c>
      <c r="CP16" s="17"/>
      <c r="CQ16" s="17" t="s">
        <v>408</v>
      </c>
      <c r="CR16" s="19"/>
    </row>
    <row r="17" spans="1:96" ht="51">
      <c r="A17" s="1" t="s">
        <v>446</v>
      </c>
      <c r="B17" s="1" t="s">
        <v>467</v>
      </c>
      <c r="C17" s="27">
        <v>25</v>
      </c>
      <c r="D17" s="27">
        <v>15</v>
      </c>
      <c r="E17" s="27">
        <v>8700</v>
      </c>
      <c r="F17" s="28">
        <v>10454</v>
      </c>
      <c r="G17" s="1">
        <v>1984146</v>
      </c>
      <c r="H17" s="27" t="s">
        <v>121</v>
      </c>
      <c r="I17" s="29">
        <v>37309</v>
      </c>
      <c r="J17" s="16">
        <f t="shared" si="0"/>
        <v>73.524982888432575</v>
      </c>
      <c r="K17" s="35">
        <v>1</v>
      </c>
      <c r="L17" s="34" t="s">
        <v>473</v>
      </c>
      <c r="M17" s="2" t="s">
        <v>122</v>
      </c>
      <c r="N17" s="35" t="s">
        <v>403</v>
      </c>
      <c r="O17" s="35">
        <v>0</v>
      </c>
      <c r="P17" s="35">
        <v>0</v>
      </c>
      <c r="Q17" s="35">
        <v>1</v>
      </c>
      <c r="R17" s="35">
        <v>0</v>
      </c>
      <c r="S17" s="35">
        <v>0</v>
      </c>
      <c r="T17" s="30" t="s">
        <v>478</v>
      </c>
      <c r="U17" s="37" t="s">
        <v>402</v>
      </c>
      <c r="V17" s="37">
        <v>1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1">
        <v>36099</v>
      </c>
      <c r="AC17" s="10">
        <v>36131</v>
      </c>
      <c r="AD17" s="11">
        <f t="shared" si="1"/>
        <v>1.0513347022587269</v>
      </c>
      <c r="AE17" s="11">
        <v>0</v>
      </c>
      <c r="AF17" s="11">
        <v>0</v>
      </c>
      <c r="AG17" s="10" t="s">
        <v>389</v>
      </c>
      <c r="AH17" s="35">
        <v>1</v>
      </c>
      <c r="AI17" s="30" t="s">
        <v>484</v>
      </c>
      <c r="AJ17" s="10">
        <v>36131</v>
      </c>
      <c r="AK17" s="11">
        <f t="shared" si="2"/>
        <v>38.702258726899387</v>
      </c>
      <c r="AL17" s="11">
        <f t="shared" si="3"/>
        <v>0</v>
      </c>
      <c r="AM17" s="11">
        <f t="shared" si="4"/>
        <v>39.753593429158109</v>
      </c>
      <c r="AN17" s="2">
        <v>1</v>
      </c>
      <c r="AO17" s="2">
        <v>1</v>
      </c>
      <c r="AP17" s="28">
        <v>37300</v>
      </c>
      <c r="AQ17" s="28">
        <v>37313</v>
      </c>
      <c r="AR17" s="39">
        <f t="shared" si="5"/>
        <v>1.8571428571428572</v>
      </c>
      <c r="AS17" s="20">
        <v>12</v>
      </c>
      <c r="AT17" s="20">
        <v>3</v>
      </c>
      <c r="AU17" s="20">
        <f t="shared" si="6"/>
        <v>36</v>
      </c>
      <c r="AV17" s="20">
        <v>0</v>
      </c>
      <c r="AW17" s="27">
        <v>0</v>
      </c>
      <c r="AX17" s="20">
        <v>0</v>
      </c>
      <c r="AY17" s="20">
        <v>0</v>
      </c>
      <c r="AZ17" s="20">
        <v>0</v>
      </c>
      <c r="BA17" s="20">
        <v>1</v>
      </c>
      <c r="BB17" s="20">
        <v>0</v>
      </c>
      <c r="BC17" s="20">
        <v>1</v>
      </c>
      <c r="BD17" s="20">
        <v>0</v>
      </c>
      <c r="BE17" s="29"/>
      <c r="BF17" s="48">
        <v>38107</v>
      </c>
      <c r="BG17" s="196">
        <v>38199</v>
      </c>
      <c r="BH17" s="196" t="s">
        <v>537</v>
      </c>
      <c r="BI17" s="2"/>
      <c r="BJ17" s="35">
        <f t="shared" si="7"/>
        <v>29.24024640657084</v>
      </c>
      <c r="BK17" s="35">
        <f t="shared" si="8"/>
        <v>890</v>
      </c>
      <c r="BL17" s="35">
        <v>0</v>
      </c>
      <c r="BM17" s="17"/>
      <c r="BN17" s="35"/>
      <c r="BO17" s="35">
        <f t="shared" si="15"/>
        <v>26.217659137577002</v>
      </c>
      <c r="BP17" s="35">
        <f t="shared" si="9"/>
        <v>798</v>
      </c>
      <c r="BQ17" s="35">
        <v>0</v>
      </c>
      <c r="BR17" s="17"/>
      <c r="BS17" s="11">
        <f>(BF17-I17)/365.25*12</f>
        <v>26.217659137577002</v>
      </c>
      <c r="BT17" s="35">
        <f t="shared" si="11"/>
        <v>798</v>
      </c>
      <c r="BU17" s="35">
        <f t="shared" si="19"/>
        <v>0</v>
      </c>
      <c r="BV17" s="35"/>
      <c r="BW17" s="35">
        <v>1</v>
      </c>
      <c r="BX17" s="17"/>
      <c r="BY17" s="35">
        <f>(BF17-I17)/365.25*12</f>
        <v>26.217659137577002</v>
      </c>
      <c r="BZ17" s="35">
        <f t="shared" si="13"/>
        <v>798</v>
      </c>
      <c r="CA17" s="35">
        <f t="shared" si="16"/>
        <v>0</v>
      </c>
      <c r="CB17" s="17"/>
      <c r="CC17" s="35">
        <f t="shared" si="17"/>
        <v>26.217659137577002</v>
      </c>
      <c r="CD17" s="35">
        <f t="shared" si="18"/>
        <v>798</v>
      </c>
      <c r="CE17" s="2"/>
      <c r="CF17" s="19"/>
      <c r="CG17" s="35">
        <v>3</v>
      </c>
      <c r="CH17" s="43">
        <v>27.2</v>
      </c>
      <c r="CI17" s="19"/>
      <c r="CJ17" s="19"/>
      <c r="CK17" s="20">
        <v>0</v>
      </c>
      <c r="CL17" s="20"/>
      <c r="CM17" s="20" t="s">
        <v>408</v>
      </c>
      <c r="CN17" s="17"/>
      <c r="CO17" s="35">
        <v>0</v>
      </c>
      <c r="CP17" s="17"/>
      <c r="CQ17" s="17" t="s">
        <v>408</v>
      </c>
      <c r="CR17" s="19"/>
    </row>
    <row r="18" spans="1:96" s="94" customFormat="1" ht="25.5">
      <c r="A18" s="75" t="s">
        <v>447</v>
      </c>
      <c r="B18" s="75" t="s">
        <v>468</v>
      </c>
      <c r="C18" s="76">
        <v>27</v>
      </c>
      <c r="D18" s="76">
        <v>16</v>
      </c>
      <c r="E18" s="76">
        <v>8700</v>
      </c>
      <c r="F18" s="77">
        <v>21007</v>
      </c>
      <c r="G18" s="75">
        <v>2322073</v>
      </c>
      <c r="H18" s="76" t="s">
        <v>121</v>
      </c>
      <c r="I18" s="78">
        <v>37425</v>
      </c>
      <c r="J18" s="79">
        <f t="shared" si="0"/>
        <v>44.950034223134843</v>
      </c>
      <c r="K18" s="80">
        <v>1</v>
      </c>
      <c r="L18" s="81" t="s">
        <v>49</v>
      </c>
      <c r="M18" s="82" t="s">
        <v>122</v>
      </c>
      <c r="N18" s="80" t="s">
        <v>403</v>
      </c>
      <c r="O18" s="80">
        <v>0</v>
      </c>
      <c r="P18" s="80">
        <v>0</v>
      </c>
      <c r="Q18" s="80">
        <v>1</v>
      </c>
      <c r="R18" s="80">
        <v>0</v>
      </c>
      <c r="S18" s="80">
        <v>0</v>
      </c>
      <c r="T18" s="83" t="s">
        <v>475</v>
      </c>
      <c r="U18" s="84" t="s">
        <v>402</v>
      </c>
      <c r="V18" s="84">
        <v>1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5">
        <v>34242</v>
      </c>
      <c r="AC18" s="86">
        <v>34499</v>
      </c>
      <c r="AD18" s="87">
        <f t="shared" si="1"/>
        <v>8.4435318275154003</v>
      </c>
      <c r="AE18" s="87">
        <v>0</v>
      </c>
      <c r="AF18" s="87">
        <v>0</v>
      </c>
      <c r="AG18" s="86" t="s">
        <v>387</v>
      </c>
      <c r="AH18" s="80">
        <v>1</v>
      </c>
      <c r="AI18" s="83" t="s">
        <v>40</v>
      </c>
      <c r="AJ18" s="86">
        <v>34499</v>
      </c>
      <c r="AK18" s="87">
        <f t="shared" si="2"/>
        <v>96.131416837782339</v>
      </c>
      <c r="AL18" s="87">
        <f t="shared" si="3"/>
        <v>0</v>
      </c>
      <c r="AM18" s="87">
        <f t="shared" si="4"/>
        <v>104.57494866529774</v>
      </c>
      <c r="AN18" s="82">
        <v>1</v>
      </c>
      <c r="AO18" s="82">
        <v>1</v>
      </c>
      <c r="AP18" s="77">
        <v>37435</v>
      </c>
      <c r="AQ18" s="77">
        <v>37449</v>
      </c>
      <c r="AR18" s="88">
        <f t="shared" si="5"/>
        <v>2</v>
      </c>
      <c r="AS18" s="89">
        <v>11</v>
      </c>
      <c r="AT18" s="89">
        <v>5</v>
      </c>
      <c r="AU18" s="89">
        <f t="shared" si="6"/>
        <v>55</v>
      </c>
      <c r="AV18" s="89">
        <v>0</v>
      </c>
      <c r="AW18" s="76">
        <v>0</v>
      </c>
      <c r="AX18" s="89">
        <v>0</v>
      </c>
      <c r="AY18" s="89">
        <v>0</v>
      </c>
      <c r="AZ18" s="89">
        <v>0</v>
      </c>
      <c r="BA18" s="89">
        <v>1</v>
      </c>
      <c r="BB18" s="89">
        <v>0</v>
      </c>
      <c r="BC18" s="89">
        <v>1</v>
      </c>
      <c r="BD18" s="89">
        <v>0</v>
      </c>
      <c r="BE18" s="78"/>
      <c r="BF18" s="90">
        <v>38093</v>
      </c>
      <c r="BG18" s="197">
        <v>38199</v>
      </c>
      <c r="BH18" s="197" t="s">
        <v>537</v>
      </c>
      <c r="BI18" s="82"/>
      <c r="BJ18" s="80">
        <f t="shared" si="7"/>
        <v>25.429158110882955</v>
      </c>
      <c r="BK18" s="80">
        <f t="shared" si="8"/>
        <v>774</v>
      </c>
      <c r="BL18" s="80">
        <v>0</v>
      </c>
      <c r="BM18" s="91"/>
      <c r="BN18" s="80"/>
      <c r="BO18" s="80">
        <f t="shared" si="15"/>
        <v>21.946611909650926</v>
      </c>
      <c r="BP18" s="80">
        <f t="shared" si="9"/>
        <v>668.00000000000011</v>
      </c>
      <c r="BQ18" s="80">
        <v>1</v>
      </c>
      <c r="BR18" s="91">
        <v>38093</v>
      </c>
      <c r="BS18" s="87">
        <f>(BR18-I18)*12/365.25</f>
        <v>21.946611909650922</v>
      </c>
      <c r="BT18" s="80">
        <f t="shared" si="11"/>
        <v>667.99999999999989</v>
      </c>
      <c r="BU18" s="80">
        <f t="shared" si="19"/>
        <v>1</v>
      </c>
      <c r="BV18" s="80">
        <v>0</v>
      </c>
      <c r="BW18" s="80">
        <v>0</v>
      </c>
      <c r="BX18" s="91">
        <v>38093</v>
      </c>
      <c r="BY18" s="80">
        <f>(BX18-I18)*12/365.25</f>
        <v>21.946611909650922</v>
      </c>
      <c r="BZ18" s="80">
        <f t="shared" si="13"/>
        <v>667.99999999999989</v>
      </c>
      <c r="CA18" s="80">
        <f t="shared" si="16"/>
        <v>1</v>
      </c>
      <c r="CB18" s="91">
        <v>38093</v>
      </c>
      <c r="CC18" s="80">
        <f t="shared" si="17"/>
        <v>21.946611909650922</v>
      </c>
      <c r="CD18" s="80">
        <f t="shared" si="18"/>
        <v>667.99999999999989</v>
      </c>
      <c r="CE18" s="82"/>
      <c r="CF18" s="92"/>
      <c r="CG18" s="80">
        <v>3</v>
      </c>
      <c r="CH18" s="93">
        <v>22.9</v>
      </c>
      <c r="CI18" s="92"/>
      <c r="CJ18" s="92"/>
      <c r="CK18" s="89">
        <v>0</v>
      </c>
      <c r="CL18" s="89"/>
      <c r="CM18" s="89" t="s">
        <v>408</v>
      </c>
      <c r="CN18" s="91"/>
      <c r="CO18" s="80">
        <v>0</v>
      </c>
      <c r="CP18" s="91"/>
      <c r="CQ18" s="91" t="s">
        <v>408</v>
      </c>
      <c r="CR18" s="92"/>
    </row>
    <row r="19" spans="1:96" s="113" customFormat="1" ht="25.5">
      <c r="A19" s="75" t="s">
        <v>448</v>
      </c>
      <c r="B19" s="75" t="s">
        <v>469</v>
      </c>
      <c r="C19" s="76">
        <v>28</v>
      </c>
      <c r="D19" s="76">
        <v>17</v>
      </c>
      <c r="E19" s="76">
        <v>8700</v>
      </c>
      <c r="F19" s="77">
        <v>9491</v>
      </c>
      <c r="G19" s="75">
        <v>1827381</v>
      </c>
      <c r="H19" s="76" t="s">
        <v>121</v>
      </c>
      <c r="I19" s="78">
        <v>37441</v>
      </c>
      <c r="J19" s="79">
        <f t="shared" si="0"/>
        <v>76.522929500342229</v>
      </c>
      <c r="K19" s="80">
        <v>1</v>
      </c>
      <c r="L19" s="81" t="s">
        <v>474</v>
      </c>
      <c r="M19" s="82" t="s">
        <v>122</v>
      </c>
      <c r="N19" s="80" t="s">
        <v>403</v>
      </c>
      <c r="O19" s="80">
        <v>0</v>
      </c>
      <c r="P19" s="80">
        <v>0</v>
      </c>
      <c r="Q19" s="80">
        <v>1</v>
      </c>
      <c r="R19" s="80">
        <v>0</v>
      </c>
      <c r="S19" s="80">
        <v>0</v>
      </c>
      <c r="T19" s="83" t="s">
        <v>475</v>
      </c>
      <c r="U19" s="84" t="s">
        <v>402</v>
      </c>
      <c r="V19" s="84">
        <v>1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5">
        <v>34864</v>
      </c>
      <c r="AC19" s="86">
        <v>36691</v>
      </c>
      <c r="AD19" s="87">
        <f t="shared" si="1"/>
        <v>60.024640657084191</v>
      </c>
      <c r="AE19" s="87">
        <v>0</v>
      </c>
      <c r="AF19" s="87">
        <v>0</v>
      </c>
      <c r="AG19" s="86" t="s">
        <v>387</v>
      </c>
      <c r="AH19" s="80">
        <v>1</v>
      </c>
      <c r="AI19" s="83" t="s">
        <v>327</v>
      </c>
      <c r="AJ19" s="86">
        <v>36691</v>
      </c>
      <c r="AK19" s="87">
        <f t="shared" si="2"/>
        <v>24.640657084188913</v>
      </c>
      <c r="AL19" s="87">
        <f t="shared" si="3"/>
        <v>0</v>
      </c>
      <c r="AM19" s="87">
        <f t="shared" si="4"/>
        <v>84.665297741273108</v>
      </c>
      <c r="AN19" s="82">
        <v>1</v>
      </c>
      <c r="AO19" s="82">
        <v>1</v>
      </c>
      <c r="AP19" s="77">
        <v>37454</v>
      </c>
      <c r="AQ19" s="77">
        <v>37467</v>
      </c>
      <c r="AR19" s="88">
        <f t="shared" si="5"/>
        <v>1.8571428571428572</v>
      </c>
      <c r="AS19" s="89">
        <v>10</v>
      </c>
      <c r="AT19" s="89">
        <v>5</v>
      </c>
      <c r="AU19" s="89">
        <f t="shared" si="6"/>
        <v>50</v>
      </c>
      <c r="AV19" s="89">
        <v>1</v>
      </c>
      <c r="AW19" s="76">
        <v>0</v>
      </c>
      <c r="AX19" s="89">
        <v>0</v>
      </c>
      <c r="AY19" s="89">
        <v>0</v>
      </c>
      <c r="AZ19" s="89">
        <v>0</v>
      </c>
      <c r="BA19" s="89">
        <v>0</v>
      </c>
      <c r="BB19" s="89">
        <v>0</v>
      </c>
      <c r="BC19" s="89">
        <v>1</v>
      </c>
      <c r="BD19" s="89">
        <v>0</v>
      </c>
      <c r="BE19" s="78"/>
      <c r="BF19" s="90">
        <v>38077</v>
      </c>
      <c r="BG19" s="197">
        <v>38199</v>
      </c>
      <c r="BH19" s="197" t="s">
        <v>537</v>
      </c>
      <c r="BI19" s="82"/>
      <c r="BJ19" s="80">
        <f t="shared" si="7"/>
        <v>24.903490759753595</v>
      </c>
      <c r="BK19" s="80">
        <f t="shared" si="8"/>
        <v>758</v>
      </c>
      <c r="BL19" s="80">
        <v>1</v>
      </c>
      <c r="BM19" s="91">
        <v>37853</v>
      </c>
      <c r="BN19" s="80">
        <f>(BM19-AQ19)*12/365.25</f>
        <v>12.681724845995893</v>
      </c>
      <c r="BO19" s="80">
        <f>(BM19-I19)*12/365.25</f>
        <v>13.535934291581109</v>
      </c>
      <c r="BP19" s="80">
        <f t="shared" si="9"/>
        <v>412</v>
      </c>
      <c r="BQ19" s="80">
        <v>0</v>
      </c>
      <c r="BR19" s="91"/>
      <c r="BS19" s="87">
        <f>(BF19-I19)/365.25*12</f>
        <v>20.895277207392198</v>
      </c>
      <c r="BT19" s="80">
        <f t="shared" si="11"/>
        <v>636</v>
      </c>
      <c r="BU19" s="80">
        <f t="shared" si="19"/>
        <v>1</v>
      </c>
      <c r="BV19" s="80"/>
      <c r="BW19" s="80">
        <v>1</v>
      </c>
      <c r="BX19" s="91">
        <v>37853</v>
      </c>
      <c r="BY19" s="80">
        <f>(BX19-I19)*12/365.25</f>
        <v>13.535934291581109</v>
      </c>
      <c r="BZ19" s="80">
        <f t="shared" si="13"/>
        <v>412</v>
      </c>
      <c r="CA19" s="135">
        <v>0</v>
      </c>
      <c r="CB19" s="90">
        <f>BF19</f>
        <v>38077</v>
      </c>
      <c r="CC19" s="135">
        <f>(CB19-I19)/365.25*12</f>
        <v>20.895277207392198</v>
      </c>
      <c r="CD19" s="135">
        <f>CC19*365.25/12</f>
        <v>636</v>
      </c>
      <c r="CE19" s="82"/>
      <c r="CF19" s="92"/>
      <c r="CG19" s="80">
        <v>3</v>
      </c>
      <c r="CH19" s="93">
        <v>31.5</v>
      </c>
      <c r="CI19" s="92"/>
      <c r="CJ19" s="92"/>
      <c r="CK19" s="89">
        <v>0</v>
      </c>
      <c r="CL19" s="89"/>
      <c r="CM19" s="89" t="s">
        <v>389</v>
      </c>
      <c r="CN19" s="91">
        <v>37878</v>
      </c>
      <c r="CO19" s="80">
        <v>1</v>
      </c>
      <c r="CP19" s="80">
        <f>(CN19-AP19)*12/365.25</f>
        <v>13.930184804928132</v>
      </c>
      <c r="CQ19" s="91" t="s">
        <v>408</v>
      </c>
      <c r="CR19" s="92"/>
    </row>
    <row r="20" spans="1:96" ht="25.5">
      <c r="A20" s="136" t="s">
        <v>449</v>
      </c>
      <c r="B20" s="136" t="s">
        <v>453</v>
      </c>
      <c r="C20" s="52">
        <v>29</v>
      </c>
      <c r="D20" s="52">
        <v>18</v>
      </c>
      <c r="E20" s="52">
        <v>8700</v>
      </c>
      <c r="F20" s="137">
        <v>21761</v>
      </c>
      <c r="G20" s="136">
        <v>2179075</v>
      </c>
      <c r="H20" s="52" t="s">
        <v>121</v>
      </c>
      <c r="I20" s="138">
        <v>37526</v>
      </c>
      <c r="J20" s="139">
        <f t="shared" si="0"/>
        <v>43.162217659137575</v>
      </c>
      <c r="K20" s="53">
        <v>1</v>
      </c>
      <c r="L20" s="140" t="s">
        <v>49</v>
      </c>
      <c r="M20" s="54" t="s">
        <v>122</v>
      </c>
      <c r="N20" s="53" t="s">
        <v>403</v>
      </c>
      <c r="O20" s="53">
        <v>0</v>
      </c>
      <c r="P20" s="53">
        <v>0</v>
      </c>
      <c r="Q20" s="53">
        <v>1</v>
      </c>
      <c r="R20" s="53">
        <v>0</v>
      </c>
      <c r="S20" s="53">
        <v>0</v>
      </c>
      <c r="T20" s="141" t="s">
        <v>475</v>
      </c>
      <c r="U20" s="55" t="s">
        <v>402</v>
      </c>
      <c r="V20" s="55">
        <v>1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142">
        <v>34942</v>
      </c>
      <c r="AC20" s="56">
        <v>36769</v>
      </c>
      <c r="AD20" s="57">
        <f t="shared" si="1"/>
        <v>60.024640657084191</v>
      </c>
      <c r="AE20" s="57">
        <v>1</v>
      </c>
      <c r="AF20" s="57">
        <v>0</v>
      </c>
      <c r="AG20" s="56" t="s">
        <v>387</v>
      </c>
      <c r="AH20" s="53">
        <v>1</v>
      </c>
      <c r="AI20" s="141" t="s">
        <v>327</v>
      </c>
      <c r="AJ20" s="56">
        <v>37345</v>
      </c>
      <c r="AK20" s="57">
        <f t="shared" si="2"/>
        <v>5.9466119096509242</v>
      </c>
      <c r="AL20" s="57">
        <f t="shared" si="3"/>
        <v>18.924024640657084</v>
      </c>
      <c r="AM20" s="57">
        <f t="shared" si="4"/>
        <v>84.895277207392198</v>
      </c>
      <c r="AN20" s="54">
        <v>2</v>
      </c>
      <c r="AO20" s="54">
        <v>0</v>
      </c>
      <c r="AP20" s="137">
        <v>37545</v>
      </c>
      <c r="AQ20" s="137">
        <v>37558</v>
      </c>
      <c r="AR20" s="143">
        <f t="shared" si="5"/>
        <v>1.8571428571428572</v>
      </c>
      <c r="AS20" s="58">
        <v>10</v>
      </c>
      <c r="AT20" s="58">
        <v>5</v>
      </c>
      <c r="AU20" s="58">
        <f t="shared" si="6"/>
        <v>50</v>
      </c>
      <c r="AV20" s="58">
        <v>1</v>
      </c>
      <c r="AW20" s="52">
        <v>1</v>
      </c>
      <c r="AX20" s="58">
        <v>0</v>
      </c>
      <c r="AY20" s="58">
        <v>0</v>
      </c>
      <c r="AZ20" s="58">
        <v>0</v>
      </c>
      <c r="BA20" s="58">
        <v>0</v>
      </c>
      <c r="BB20" s="58">
        <v>0</v>
      </c>
      <c r="BC20" s="58">
        <v>2</v>
      </c>
      <c r="BD20" s="58">
        <v>1</v>
      </c>
      <c r="BE20" s="138">
        <v>37707</v>
      </c>
      <c r="BF20" s="59">
        <v>37680</v>
      </c>
      <c r="BG20" s="59">
        <v>37707</v>
      </c>
      <c r="BH20" s="59"/>
      <c r="BI20" s="54"/>
      <c r="BJ20" s="53">
        <f t="shared" si="7"/>
        <v>5.9466119096509242</v>
      </c>
      <c r="BK20" s="53">
        <f t="shared" si="8"/>
        <v>181</v>
      </c>
      <c r="BL20" s="53">
        <v>0</v>
      </c>
      <c r="BM20" s="59"/>
      <c r="BN20" s="53"/>
      <c r="BO20" s="53">
        <f>(BF20-I20)/365.25*12</f>
        <v>5.0595482546201236</v>
      </c>
      <c r="BP20" s="53">
        <f t="shared" si="9"/>
        <v>154.00000000000003</v>
      </c>
      <c r="BQ20" s="53">
        <v>1</v>
      </c>
      <c r="BR20" s="59">
        <v>37680</v>
      </c>
      <c r="BS20" s="57">
        <f>(BR20-I20)*12/365.25</f>
        <v>5.0595482546201236</v>
      </c>
      <c r="BT20" s="53">
        <f t="shared" si="11"/>
        <v>154.00000000000003</v>
      </c>
      <c r="BU20" s="53">
        <f t="shared" si="19"/>
        <v>1</v>
      </c>
      <c r="BV20" s="53"/>
      <c r="BW20" s="53">
        <v>0</v>
      </c>
      <c r="BX20" s="59">
        <v>37680</v>
      </c>
      <c r="BY20" s="53">
        <f>(BX20-I20)*12/365.25</f>
        <v>5.0595482546201236</v>
      </c>
      <c r="BZ20" s="53">
        <f t="shared" si="13"/>
        <v>154.00000000000003</v>
      </c>
      <c r="CA20" s="53">
        <f t="shared" ref="CA20:CA29" si="20">BU20</f>
        <v>1</v>
      </c>
      <c r="CB20" s="59">
        <f>BX20</f>
        <v>37680</v>
      </c>
      <c r="CC20" s="53">
        <f>BY20</f>
        <v>5.0595482546201236</v>
      </c>
      <c r="CD20" s="53">
        <f>BZ20</f>
        <v>154.00000000000003</v>
      </c>
      <c r="CE20" s="54"/>
      <c r="CF20" s="144"/>
      <c r="CG20" s="53">
        <v>3</v>
      </c>
      <c r="CH20" s="61">
        <f>37.48+2.09</f>
        <v>39.569999999999993</v>
      </c>
      <c r="CI20" s="144"/>
      <c r="CJ20" s="144"/>
      <c r="CK20" s="58">
        <v>0</v>
      </c>
      <c r="CL20" s="58"/>
      <c r="CM20" s="58" t="s">
        <v>408</v>
      </c>
      <c r="CN20" s="59"/>
      <c r="CO20" s="53">
        <v>0</v>
      </c>
      <c r="CP20" s="59"/>
      <c r="CQ20" s="59" t="s">
        <v>408</v>
      </c>
      <c r="CR20" s="144"/>
    </row>
    <row r="21" spans="1:96" s="94" customFormat="1" ht="25.5">
      <c r="A21" s="1" t="s">
        <v>450</v>
      </c>
      <c r="B21" s="1" t="s">
        <v>313</v>
      </c>
      <c r="C21" s="27">
        <v>30</v>
      </c>
      <c r="D21" s="27">
        <v>19</v>
      </c>
      <c r="E21" s="27">
        <v>8700</v>
      </c>
      <c r="F21" s="28">
        <v>22524</v>
      </c>
      <c r="G21" s="1">
        <v>1810986</v>
      </c>
      <c r="H21" s="27" t="s">
        <v>121</v>
      </c>
      <c r="I21" s="29">
        <v>37561</v>
      </c>
      <c r="J21" s="16">
        <f t="shared" si="0"/>
        <v>41.169062286105408</v>
      </c>
      <c r="K21" s="35">
        <v>1</v>
      </c>
      <c r="L21" s="34" t="s">
        <v>49</v>
      </c>
      <c r="M21" s="2" t="s">
        <v>122</v>
      </c>
      <c r="N21" s="35" t="s">
        <v>403</v>
      </c>
      <c r="O21" s="35">
        <v>0</v>
      </c>
      <c r="P21" s="35">
        <v>0</v>
      </c>
      <c r="Q21" s="35">
        <v>1</v>
      </c>
      <c r="R21" s="35">
        <v>0</v>
      </c>
      <c r="S21" s="35">
        <v>0</v>
      </c>
      <c r="T21" s="30" t="s">
        <v>475</v>
      </c>
      <c r="U21" s="37" t="s">
        <v>402</v>
      </c>
      <c r="V21" s="37">
        <v>1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1">
        <v>36433</v>
      </c>
      <c r="AC21" s="10">
        <v>37529</v>
      </c>
      <c r="AD21" s="11">
        <f t="shared" si="1"/>
        <v>36.008213552361397</v>
      </c>
      <c r="AE21" s="11">
        <v>0</v>
      </c>
      <c r="AF21" s="11">
        <v>0</v>
      </c>
      <c r="AG21" s="10" t="s">
        <v>387</v>
      </c>
      <c r="AH21" s="35">
        <v>1</v>
      </c>
      <c r="AI21" s="30" t="s">
        <v>40</v>
      </c>
      <c r="AJ21" s="10">
        <v>37529</v>
      </c>
      <c r="AK21" s="11">
        <f t="shared" si="2"/>
        <v>1.0513347022587269</v>
      </c>
      <c r="AL21" s="11">
        <f t="shared" si="3"/>
        <v>0</v>
      </c>
      <c r="AM21" s="11">
        <f t="shared" si="4"/>
        <v>37.059548254620125</v>
      </c>
      <c r="AN21" s="2">
        <v>1</v>
      </c>
      <c r="AO21" s="2">
        <v>1</v>
      </c>
      <c r="AP21" s="28">
        <v>37580</v>
      </c>
      <c r="AQ21" s="28">
        <v>37594</v>
      </c>
      <c r="AR21" s="39">
        <f t="shared" si="5"/>
        <v>2</v>
      </c>
      <c r="AS21" s="20">
        <v>12</v>
      </c>
      <c r="AT21" s="20">
        <v>5</v>
      </c>
      <c r="AU21" s="20">
        <f t="shared" si="6"/>
        <v>60</v>
      </c>
      <c r="AV21" s="20">
        <v>0</v>
      </c>
      <c r="AW21" s="27">
        <v>0</v>
      </c>
      <c r="AX21" s="20">
        <v>0</v>
      </c>
      <c r="AY21" s="20">
        <v>0</v>
      </c>
      <c r="AZ21" s="20">
        <v>0</v>
      </c>
      <c r="BA21" s="20">
        <v>1</v>
      </c>
      <c r="BB21" s="20">
        <v>0</v>
      </c>
      <c r="BC21" s="20">
        <v>1</v>
      </c>
      <c r="BD21" s="20">
        <v>0</v>
      </c>
      <c r="BE21" s="29"/>
      <c r="BF21" s="48">
        <v>38140</v>
      </c>
      <c r="BG21" s="196">
        <v>38199</v>
      </c>
      <c r="BH21" s="196" t="s">
        <v>537</v>
      </c>
      <c r="BI21" s="2"/>
      <c r="BJ21" s="35">
        <f t="shared" si="7"/>
        <v>20.960985626283367</v>
      </c>
      <c r="BK21" s="35">
        <f t="shared" si="8"/>
        <v>638</v>
      </c>
      <c r="BL21" s="35">
        <v>0</v>
      </c>
      <c r="BM21" s="17"/>
      <c r="BN21" s="35"/>
      <c r="BO21" s="35">
        <f>(BF21-I21)/365.25*12</f>
        <v>19.022587268993838</v>
      </c>
      <c r="BP21" s="35">
        <f t="shared" si="9"/>
        <v>578.99999999999989</v>
      </c>
      <c r="BQ21" s="35">
        <v>0</v>
      </c>
      <c r="BR21" s="17"/>
      <c r="BS21" s="11">
        <f>(BF21-I21)/365.25*12</f>
        <v>19.022587268993838</v>
      </c>
      <c r="BT21" s="35">
        <f t="shared" si="11"/>
        <v>578.99999999999989</v>
      </c>
      <c r="BU21" s="35">
        <f t="shared" si="19"/>
        <v>0</v>
      </c>
      <c r="BV21" s="35"/>
      <c r="BW21" s="35">
        <v>1</v>
      </c>
      <c r="BX21" s="17"/>
      <c r="BY21" s="35">
        <f>(BF21-I21)/365.25*12</f>
        <v>19.022587268993838</v>
      </c>
      <c r="BZ21" s="35">
        <f t="shared" si="13"/>
        <v>578.99999999999989</v>
      </c>
      <c r="CA21" s="35">
        <f t="shared" si="20"/>
        <v>0</v>
      </c>
      <c r="CB21" s="17"/>
      <c r="CC21" s="35">
        <f t="shared" ref="CC21:CD23" si="21">BY21</f>
        <v>19.022587268993838</v>
      </c>
      <c r="CD21" s="35">
        <f t="shared" si="21"/>
        <v>578.99999999999989</v>
      </c>
      <c r="CE21" s="2"/>
      <c r="CF21" s="19"/>
      <c r="CG21" s="35">
        <v>3</v>
      </c>
      <c r="CH21" s="47">
        <f>72.5*0.3</f>
        <v>21.75</v>
      </c>
      <c r="CI21" s="19"/>
      <c r="CJ21" s="19"/>
      <c r="CK21" s="20">
        <v>0</v>
      </c>
      <c r="CL21" s="20"/>
      <c r="CM21" s="20" t="s">
        <v>408</v>
      </c>
      <c r="CN21" s="17"/>
      <c r="CO21" s="35">
        <v>0</v>
      </c>
      <c r="CP21" s="17"/>
      <c r="CQ21" s="17" t="s">
        <v>408</v>
      </c>
      <c r="CR21" s="19"/>
    </row>
    <row r="22" spans="1:96" ht="25.5">
      <c r="A22" s="1" t="s">
        <v>451</v>
      </c>
      <c r="B22" s="1" t="s">
        <v>470</v>
      </c>
      <c r="C22" s="27">
        <v>31</v>
      </c>
      <c r="D22" s="27">
        <v>20</v>
      </c>
      <c r="E22" s="27">
        <v>8700</v>
      </c>
      <c r="F22" s="28">
        <v>21117</v>
      </c>
      <c r="G22" s="1">
        <v>2418493</v>
      </c>
      <c r="H22" s="27" t="s">
        <v>121</v>
      </c>
      <c r="I22" s="29">
        <v>37603</v>
      </c>
      <c r="J22" s="16">
        <f t="shared" si="0"/>
        <v>45.13620807665982</v>
      </c>
      <c r="K22" s="35">
        <v>1</v>
      </c>
      <c r="L22" s="34" t="s">
        <v>49</v>
      </c>
      <c r="M22" s="2" t="s">
        <v>122</v>
      </c>
      <c r="N22" s="35" t="s">
        <v>403</v>
      </c>
      <c r="O22" s="35">
        <v>0</v>
      </c>
      <c r="P22" s="35">
        <v>0</v>
      </c>
      <c r="Q22" s="35">
        <v>1</v>
      </c>
      <c r="R22" s="35">
        <v>0</v>
      </c>
      <c r="S22" s="35">
        <v>0</v>
      </c>
      <c r="T22" s="30" t="s">
        <v>475</v>
      </c>
      <c r="U22" s="37" t="s">
        <v>402</v>
      </c>
      <c r="V22" s="37">
        <v>1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1">
        <v>32873</v>
      </c>
      <c r="AC22" s="10">
        <v>37015</v>
      </c>
      <c r="AD22" s="11">
        <f t="shared" si="1"/>
        <v>136.08213552361397</v>
      </c>
      <c r="AE22" s="11">
        <v>0</v>
      </c>
      <c r="AF22" s="11">
        <v>0</v>
      </c>
      <c r="AG22" s="10" t="s">
        <v>387</v>
      </c>
      <c r="AH22" s="35">
        <v>1</v>
      </c>
      <c r="AI22" s="30" t="s">
        <v>40</v>
      </c>
      <c r="AJ22" s="10">
        <v>37015</v>
      </c>
      <c r="AK22" s="11">
        <f t="shared" si="2"/>
        <v>19.318275154004105</v>
      </c>
      <c r="AL22" s="11">
        <f t="shared" si="3"/>
        <v>0</v>
      </c>
      <c r="AM22" s="11">
        <f t="shared" si="4"/>
        <v>155.40041067761808</v>
      </c>
      <c r="AN22" s="2">
        <v>4</v>
      </c>
      <c r="AO22" s="2">
        <v>0</v>
      </c>
      <c r="AP22" s="28">
        <v>37656</v>
      </c>
      <c r="AQ22" s="28">
        <v>37664</v>
      </c>
      <c r="AR22" s="39">
        <f t="shared" si="5"/>
        <v>1.1428571428571428</v>
      </c>
      <c r="AS22" s="20">
        <v>10</v>
      </c>
      <c r="AT22" s="20">
        <v>3</v>
      </c>
      <c r="AU22" s="20">
        <f t="shared" si="6"/>
        <v>30</v>
      </c>
      <c r="AV22" s="20">
        <v>0</v>
      </c>
      <c r="AW22" s="27">
        <v>1</v>
      </c>
      <c r="AX22" s="20">
        <v>0</v>
      </c>
      <c r="AY22" s="20">
        <v>0</v>
      </c>
      <c r="AZ22" s="20">
        <v>0</v>
      </c>
      <c r="BA22" s="20">
        <v>1</v>
      </c>
      <c r="BB22" s="20">
        <v>0</v>
      </c>
      <c r="BC22" s="20">
        <v>2</v>
      </c>
      <c r="BD22" s="20">
        <v>0</v>
      </c>
      <c r="BE22" s="29"/>
      <c r="BF22" s="48">
        <v>37985</v>
      </c>
      <c r="BG22" s="196">
        <v>38199</v>
      </c>
      <c r="BH22" s="196" t="s">
        <v>537</v>
      </c>
      <c r="BI22" s="2"/>
      <c r="BJ22" s="35">
        <f t="shared" si="7"/>
        <v>19.581108829568791</v>
      </c>
      <c r="BK22" s="35">
        <f t="shared" si="8"/>
        <v>596.00000000000011</v>
      </c>
      <c r="BL22" s="35">
        <v>0</v>
      </c>
      <c r="BM22" s="17"/>
      <c r="BN22" s="35"/>
      <c r="BO22" s="35">
        <f>(BF22-I22)/365.25*12</f>
        <v>12.550308008213554</v>
      </c>
      <c r="BP22" s="35">
        <f t="shared" si="9"/>
        <v>382.00000000000006</v>
      </c>
      <c r="BQ22" s="35">
        <v>0</v>
      </c>
      <c r="BR22" s="17"/>
      <c r="BS22" s="11">
        <f>(BF22-I22)/365.25*12</f>
        <v>12.550308008213554</v>
      </c>
      <c r="BT22" s="35">
        <f t="shared" si="11"/>
        <v>382.00000000000006</v>
      </c>
      <c r="BU22" s="35">
        <f t="shared" si="19"/>
        <v>0</v>
      </c>
      <c r="BV22" s="35"/>
      <c r="BW22" s="35">
        <v>1</v>
      </c>
      <c r="BX22" s="17"/>
      <c r="BY22" s="35">
        <f>(BF22-I22)/365.25*12</f>
        <v>12.550308008213554</v>
      </c>
      <c r="BZ22" s="35">
        <f t="shared" si="13"/>
        <v>382.00000000000006</v>
      </c>
      <c r="CA22" s="35">
        <f t="shared" si="20"/>
        <v>0</v>
      </c>
      <c r="CB22" s="17"/>
      <c r="CC22" s="35">
        <f t="shared" si="21"/>
        <v>12.550308008213554</v>
      </c>
      <c r="CD22" s="35">
        <f t="shared" si="21"/>
        <v>382.00000000000006</v>
      </c>
      <c r="CE22" s="2"/>
      <c r="CF22" s="19"/>
      <c r="CG22" s="35">
        <v>4</v>
      </c>
      <c r="CH22" s="43">
        <f>15.23+15.55+16.64+36.98</f>
        <v>84.4</v>
      </c>
      <c r="CI22" s="19"/>
      <c r="CJ22" s="19"/>
      <c r="CK22" s="20">
        <v>0</v>
      </c>
      <c r="CL22" s="20"/>
      <c r="CM22" s="20" t="s">
        <v>408</v>
      </c>
      <c r="CN22" s="17"/>
      <c r="CO22" s="35">
        <v>0</v>
      </c>
      <c r="CP22" s="17"/>
      <c r="CQ22" s="17" t="s">
        <v>408</v>
      </c>
      <c r="CR22" s="19"/>
    </row>
    <row r="23" spans="1:96" ht="25.5">
      <c r="A23" s="1" t="s">
        <v>452</v>
      </c>
      <c r="B23" s="1" t="s">
        <v>471</v>
      </c>
      <c r="C23" s="27">
        <v>32</v>
      </c>
      <c r="D23" s="27">
        <v>21</v>
      </c>
      <c r="E23" s="27">
        <v>8700</v>
      </c>
      <c r="F23" s="28">
        <v>15011</v>
      </c>
      <c r="G23" s="1">
        <v>1873171</v>
      </c>
      <c r="H23" s="27" t="s">
        <v>121</v>
      </c>
      <c r="I23" s="29">
        <v>37611</v>
      </c>
      <c r="J23" s="16">
        <f t="shared" si="0"/>
        <v>61.875427789185487</v>
      </c>
      <c r="K23" s="35">
        <v>1</v>
      </c>
      <c r="L23" s="34" t="s">
        <v>474</v>
      </c>
      <c r="M23" s="2" t="s">
        <v>122</v>
      </c>
      <c r="N23" s="35" t="s">
        <v>403</v>
      </c>
      <c r="O23" s="35">
        <v>0</v>
      </c>
      <c r="P23" s="35">
        <v>0</v>
      </c>
      <c r="Q23" s="35">
        <v>1</v>
      </c>
      <c r="R23" s="35">
        <v>0</v>
      </c>
      <c r="S23" s="35">
        <v>0</v>
      </c>
      <c r="T23" s="30" t="s">
        <v>475</v>
      </c>
      <c r="U23" s="37" t="s">
        <v>402</v>
      </c>
      <c r="V23" s="37">
        <v>1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1">
        <v>35611</v>
      </c>
      <c r="AC23" s="10">
        <v>37519</v>
      </c>
      <c r="AD23" s="11">
        <f t="shared" si="1"/>
        <v>62.685831622176593</v>
      </c>
      <c r="AE23" s="11">
        <v>0</v>
      </c>
      <c r="AF23" s="11">
        <v>0</v>
      </c>
      <c r="AG23" s="10" t="s">
        <v>388</v>
      </c>
      <c r="AH23" s="35">
        <v>0</v>
      </c>
      <c r="AI23" s="30" t="s">
        <v>327</v>
      </c>
      <c r="AJ23" s="10">
        <v>37519</v>
      </c>
      <c r="AK23" s="11">
        <f t="shared" si="2"/>
        <v>3.0225872689938398</v>
      </c>
      <c r="AL23" s="11">
        <f t="shared" si="3"/>
        <v>0</v>
      </c>
      <c r="AM23" s="11">
        <f t="shared" si="4"/>
        <v>65.708418891170425</v>
      </c>
      <c r="AN23" s="2">
        <v>1</v>
      </c>
      <c r="AO23" s="2">
        <v>1</v>
      </c>
      <c r="AP23" s="28">
        <v>37624</v>
      </c>
      <c r="AQ23" s="28">
        <v>37637</v>
      </c>
      <c r="AR23" s="39">
        <f t="shared" si="5"/>
        <v>1.8571428571428572</v>
      </c>
      <c r="AS23" s="20">
        <v>11</v>
      </c>
      <c r="AT23" s="20">
        <v>5</v>
      </c>
      <c r="AU23" s="20">
        <f t="shared" si="6"/>
        <v>55</v>
      </c>
      <c r="AV23" s="20">
        <v>1</v>
      </c>
      <c r="AW23" s="27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1</v>
      </c>
      <c r="BD23" s="20">
        <v>0</v>
      </c>
      <c r="BE23" s="29"/>
      <c r="BF23" s="48">
        <v>38091</v>
      </c>
      <c r="BG23" s="196">
        <v>38199</v>
      </c>
      <c r="BH23" s="196" t="s">
        <v>537</v>
      </c>
      <c r="BI23" s="2"/>
      <c r="BJ23" s="35">
        <f t="shared" si="7"/>
        <v>19.318275154004109</v>
      </c>
      <c r="BK23" s="35">
        <f t="shared" si="8"/>
        <v>588.00000000000011</v>
      </c>
      <c r="BL23" s="35">
        <v>0</v>
      </c>
      <c r="BM23" s="17"/>
      <c r="BN23" s="35"/>
      <c r="BO23" s="35">
        <f>(BF23-I23)/365.25*12</f>
        <v>15.770020533880903</v>
      </c>
      <c r="BP23" s="35">
        <f t="shared" si="9"/>
        <v>480</v>
      </c>
      <c r="BQ23" s="35">
        <v>0</v>
      </c>
      <c r="BR23" s="17"/>
      <c r="BS23" s="11">
        <f>(BF23-I23)/365.25*12</f>
        <v>15.770020533880903</v>
      </c>
      <c r="BT23" s="35">
        <f t="shared" si="11"/>
        <v>480</v>
      </c>
      <c r="BU23" s="35">
        <f t="shared" si="19"/>
        <v>0</v>
      </c>
      <c r="BV23" s="35"/>
      <c r="BW23" s="35">
        <v>1</v>
      </c>
      <c r="BX23" s="17"/>
      <c r="BY23" s="35">
        <f>(BF23-I23)/365.25*12</f>
        <v>15.770020533880903</v>
      </c>
      <c r="BZ23" s="35">
        <f t="shared" si="13"/>
        <v>480</v>
      </c>
      <c r="CA23" s="35">
        <f t="shared" si="20"/>
        <v>0</v>
      </c>
      <c r="CB23" s="17"/>
      <c r="CC23" s="35">
        <f t="shared" si="21"/>
        <v>15.770020533880903</v>
      </c>
      <c r="CD23" s="35">
        <f t="shared" si="21"/>
        <v>480</v>
      </c>
      <c r="CE23" s="2"/>
      <c r="CF23" s="19"/>
      <c r="CG23" s="35">
        <v>1</v>
      </c>
      <c r="CH23" s="43">
        <v>5.22</v>
      </c>
      <c r="CI23" s="19"/>
      <c r="CJ23" s="19"/>
      <c r="CK23" s="20">
        <v>0</v>
      </c>
      <c r="CL23" s="20"/>
      <c r="CM23" s="20" t="s">
        <v>408</v>
      </c>
      <c r="CN23" s="17"/>
      <c r="CO23" s="35">
        <v>0</v>
      </c>
      <c r="CP23" s="17"/>
      <c r="CQ23" s="17" t="s">
        <v>408</v>
      </c>
      <c r="CR23" s="19"/>
    </row>
    <row r="24" spans="1:96" s="60" customFormat="1" ht="38.25">
      <c r="A24" s="62" t="s">
        <v>318</v>
      </c>
      <c r="B24" s="62" t="s">
        <v>199</v>
      </c>
      <c r="C24" s="63">
        <v>19</v>
      </c>
      <c r="D24" s="52">
        <v>22</v>
      </c>
      <c r="E24" s="63">
        <v>9700</v>
      </c>
      <c r="F24" s="64">
        <v>17677</v>
      </c>
      <c r="G24" s="65">
        <v>1361341</v>
      </c>
      <c r="H24" s="66" t="s">
        <v>121</v>
      </c>
      <c r="I24" s="67">
        <v>35943</v>
      </c>
      <c r="J24" s="65">
        <f t="shared" si="0"/>
        <v>50.009582477754961</v>
      </c>
      <c r="K24" s="68">
        <v>0</v>
      </c>
      <c r="L24" s="66" t="s">
        <v>49</v>
      </c>
      <c r="M24" s="62" t="s">
        <v>93</v>
      </c>
      <c r="N24" s="63" t="s">
        <v>504</v>
      </c>
      <c r="O24" s="63">
        <v>0</v>
      </c>
      <c r="P24" s="63">
        <v>0</v>
      </c>
      <c r="Q24" s="63">
        <v>0</v>
      </c>
      <c r="R24" s="63">
        <v>1</v>
      </c>
      <c r="S24" s="63">
        <v>0</v>
      </c>
      <c r="T24" s="69" t="s">
        <v>221</v>
      </c>
      <c r="U24" s="55" t="s">
        <v>504</v>
      </c>
      <c r="V24" s="55">
        <v>0</v>
      </c>
      <c r="W24" s="55">
        <v>0</v>
      </c>
      <c r="X24" s="55">
        <v>0</v>
      </c>
      <c r="Y24" s="55">
        <v>0</v>
      </c>
      <c r="Z24" s="55">
        <v>1</v>
      </c>
      <c r="AA24" s="55">
        <v>0</v>
      </c>
      <c r="AB24" s="56">
        <v>31290</v>
      </c>
      <c r="AC24" s="56">
        <v>33603</v>
      </c>
      <c r="AD24" s="57">
        <f t="shared" si="1"/>
        <v>75.991786447638603</v>
      </c>
      <c r="AE24" s="57">
        <v>1</v>
      </c>
      <c r="AF24" s="57">
        <v>0</v>
      </c>
      <c r="AG24" s="56" t="s">
        <v>387</v>
      </c>
      <c r="AH24" s="53">
        <v>1</v>
      </c>
      <c r="AI24" s="70" t="s">
        <v>157</v>
      </c>
      <c r="AJ24" s="56">
        <v>35308</v>
      </c>
      <c r="AK24" s="57">
        <f t="shared" si="2"/>
        <v>20.862422997946613</v>
      </c>
      <c r="AL24" s="57">
        <f t="shared" si="3"/>
        <v>56.016427104722794</v>
      </c>
      <c r="AM24" s="57">
        <f t="shared" si="4"/>
        <v>152.87063655030801</v>
      </c>
      <c r="AN24" s="54">
        <v>2</v>
      </c>
      <c r="AO24" s="54">
        <v>0</v>
      </c>
      <c r="AP24" s="71">
        <v>35983</v>
      </c>
      <c r="AQ24" s="71">
        <v>35994</v>
      </c>
      <c r="AR24" s="72">
        <f t="shared" si="5"/>
        <v>1.5714285714285714</v>
      </c>
      <c r="AS24" s="58">
        <v>10</v>
      </c>
      <c r="AT24" s="58">
        <v>5</v>
      </c>
      <c r="AU24" s="58">
        <f t="shared" ref="AU24:AU47" si="22">AT24*AS24</f>
        <v>50</v>
      </c>
      <c r="AV24" s="58">
        <v>1</v>
      </c>
      <c r="AW24" s="52">
        <v>0</v>
      </c>
      <c r="AX24" s="58">
        <v>0</v>
      </c>
      <c r="AY24" s="58">
        <v>0</v>
      </c>
      <c r="AZ24" s="58">
        <v>0</v>
      </c>
      <c r="BA24" s="58">
        <v>1</v>
      </c>
      <c r="BB24" s="58">
        <v>0</v>
      </c>
      <c r="BC24" s="58">
        <v>2</v>
      </c>
      <c r="BD24" s="193">
        <v>0</v>
      </c>
      <c r="BE24" s="73"/>
      <c r="BF24" s="67">
        <v>37839</v>
      </c>
      <c r="BG24" s="59">
        <v>38048</v>
      </c>
      <c r="BH24" s="59"/>
      <c r="BI24" s="54"/>
      <c r="BJ24" s="53">
        <f t="shared" si="7"/>
        <v>69.158110882956876</v>
      </c>
      <c r="BK24" s="53">
        <f t="shared" si="8"/>
        <v>2105</v>
      </c>
      <c r="BL24" s="53">
        <v>1</v>
      </c>
      <c r="BM24" s="59">
        <v>36961</v>
      </c>
      <c r="BN24" s="53">
        <f>(BM24-AQ24)*12/365.25</f>
        <v>31.770020533880903</v>
      </c>
      <c r="BO24" s="53">
        <f>(BM24-I24)*12/365.25</f>
        <v>33.445585215605746</v>
      </c>
      <c r="BP24" s="53">
        <f t="shared" si="9"/>
        <v>1017.9999999999999</v>
      </c>
      <c r="BQ24" s="53">
        <v>1</v>
      </c>
      <c r="BR24" s="59">
        <v>37529</v>
      </c>
      <c r="BS24" s="57">
        <f>(BR24-I24)*12/365.25</f>
        <v>52.106776180698155</v>
      </c>
      <c r="BT24" s="53">
        <f t="shared" si="11"/>
        <v>1586</v>
      </c>
      <c r="BU24" s="53">
        <v>1</v>
      </c>
      <c r="BV24" s="53">
        <v>0</v>
      </c>
      <c r="BW24" s="53">
        <v>0</v>
      </c>
      <c r="BX24" s="59">
        <f>BM24</f>
        <v>36961</v>
      </c>
      <c r="BY24" s="53">
        <f>(BX24-I24)*12/365.25</f>
        <v>33.445585215605746</v>
      </c>
      <c r="BZ24" s="53">
        <f t="shared" si="13"/>
        <v>1017.9999999999999</v>
      </c>
      <c r="CA24" s="145">
        <f t="shared" si="20"/>
        <v>1</v>
      </c>
      <c r="CB24" s="146">
        <v>37376</v>
      </c>
      <c r="CC24" s="145">
        <f>(CB24-I24)/365.25*12</f>
        <v>47.080082135523611</v>
      </c>
      <c r="CD24" s="145">
        <f>CC24*365.25/12</f>
        <v>1433</v>
      </c>
      <c r="CE24" s="74" t="s">
        <v>38</v>
      </c>
      <c r="CF24" s="69" t="s">
        <v>38</v>
      </c>
      <c r="CG24" s="53">
        <v>3</v>
      </c>
      <c r="CH24" s="61">
        <f>22.66+0.63</f>
        <v>23.29</v>
      </c>
      <c r="CI24" s="69" t="s">
        <v>54</v>
      </c>
      <c r="CJ24" s="69" t="s">
        <v>328</v>
      </c>
      <c r="CK24" s="69" t="s">
        <v>363</v>
      </c>
      <c r="CL24" s="69" t="s">
        <v>363</v>
      </c>
      <c r="CM24" s="69" t="s">
        <v>389</v>
      </c>
      <c r="CN24" s="59">
        <v>36501</v>
      </c>
      <c r="CO24" s="53">
        <v>1</v>
      </c>
      <c r="CP24" s="53">
        <f>(CN24-AP24)*12/365.25</f>
        <v>17.018480492813143</v>
      </c>
      <c r="CQ24" s="53" t="s">
        <v>389</v>
      </c>
      <c r="CR24" s="69" t="s">
        <v>417</v>
      </c>
    </row>
    <row r="25" spans="1:96" s="113" customFormat="1">
      <c r="A25" s="62" t="s">
        <v>294</v>
      </c>
      <c r="B25" s="62" t="s">
        <v>262</v>
      </c>
      <c r="C25" s="63">
        <v>22</v>
      </c>
      <c r="D25" s="52">
        <v>23</v>
      </c>
      <c r="E25" s="63">
        <v>9700</v>
      </c>
      <c r="F25" s="64">
        <v>7652</v>
      </c>
      <c r="G25" s="65">
        <v>797001</v>
      </c>
      <c r="H25" s="66" t="s">
        <v>121</v>
      </c>
      <c r="I25" s="67">
        <v>35958</v>
      </c>
      <c r="J25" s="65">
        <f t="shared" si="0"/>
        <v>77.497604380561256</v>
      </c>
      <c r="K25" s="68">
        <v>1</v>
      </c>
      <c r="L25" s="66" t="s">
        <v>170</v>
      </c>
      <c r="M25" s="62" t="s">
        <v>239</v>
      </c>
      <c r="N25" s="63" t="s">
        <v>107</v>
      </c>
      <c r="O25" s="63">
        <v>1</v>
      </c>
      <c r="P25" s="63">
        <v>0</v>
      </c>
      <c r="Q25" s="63">
        <v>0</v>
      </c>
      <c r="R25" s="63">
        <v>0</v>
      </c>
      <c r="S25" s="63">
        <v>0</v>
      </c>
      <c r="T25" s="69" t="s">
        <v>155</v>
      </c>
      <c r="U25" s="55" t="s">
        <v>402</v>
      </c>
      <c r="V25" s="55">
        <v>1</v>
      </c>
      <c r="W25" s="55">
        <v>0</v>
      </c>
      <c r="X25" s="55">
        <v>0</v>
      </c>
      <c r="Y25" s="55">
        <v>0</v>
      </c>
      <c r="Z25" s="55">
        <v>0</v>
      </c>
      <c r="AA25" s="55">
        <v>0</v>
      </c>
      <c r="AB25" s="56">
        <v>35369</v>
      </c>
      <c r="AC25" s="56">
        <v>35369</v>
      </c>
      <c r="AD25" s="57">
        <f t="shared" si="1"/>
        <v>0</v>
      </c>
      <c r="AE25" s="57">
        <v>1</v>
      </c>
      <c r="AF25" s="57">
        <v>1</v>
      </c>
      <c r="AG25" s="56" t="s">
        <v>389</v>
      </c>
      <c r="AH25" s="53">
        <v>1</v>
      </c>
      <c r="AI25" s="70" t="s">
        <v>315</v>
      </c>
      <c r="AJ25" s="56">
        <v>35520</v>
      </c>
      <c r="AK25" s="57">
        <f t="shared" si="2"/>
        <v>14.390143737166325</v>
      </c>
      <c r="AL25" s="57">
        <f t="shared" si="3"/>
        <v>4.9609856262833674</v>
      </c>
      <c r="AM25" s="57">
        <f t="shared" si="4"/>
        <v>19.351129363449694</v>
      </c>
      <c r="AN25" s="54">
        <v>1</v>
      </c>
      <c r="AO25" s="54">
        <v>1</v>
      </c>
      <c r="AP25" s="71">
        <v>35962</v>
      </c>
      <c r="AQ25" s="71">
        <v>35973</v>
      </c>
      <c r="AR25" s="72">
        <f t="shared" si="5"/>
        <v>1.5714285714285714</v>
      </c>
      <c r="AS25" s="58">
        <v>10</v>
      </c>
      <c r="AT25" s="58">
        <v>5</v>
      </c>
      <c r="AU25" s="58">
        <f t="shared" si="22"/>
        <v>50</v>
      </c>
      <c r="AV25" s="58">
        <v>0</v>
      </c>
      <c r="AW25" s="58">
        <v>0</v>
      </c>
      <c r="AX25" s="58">
        <v>1</v>
      </c>
      <c r="AY25" s="58">
        <v>0</v>
      </c>
      <c r="AZ25" s="58">
        <v>0</v>
      </c>
      <c r="BA25" s="58">
        <v>0</v>
      </c>
      <c r="BB25" s="58">
        <v>0</v>
      </c>
      <c r="BC25" s="58">
        <v>1</v>
      </c>
      <c r="BD25" s="193">
        <v>1</v>
      </c>
      <c r="BE25" s="73">
        <v>38010</v>
      </c>
      <c r="BF25" s="67">
        <v>37811</v>
      </c>
      <c r="BG25" s="59">
        <v>38010</v>
      </c>
      <c r="BH25" s="59"/>
      <c r="BI25" s="54"/>
      <c r="BJ25" s="53">
        <f t="shared" si="7"/>
        <v>67.416837782340863</v>
      </c>
      <c r="BK25" s="53">
        <f t="shared" si="8"/>
        <v>2052</v>
      </c>
      <c r="BL25" s="53">
        <v>1</v>
      </c>
      <c r="BM25" s="59">
        <v>37629</v>
      </c>
      <c r="BN25" s="53">
        <f>(BM25-AQ25)*12/365.25</f>
        <v>54.406570841889121</v>
      </c>
      <c r="BO25" s="53">
        <f>(BM25-I25)*12/365.25</f>
        <v>54.899383983572896</v>
      </c>
      <c r="BP25" s="53">
        <f t="shared" si="9"/>
        <v>1671</v>
      </c>
      <c r="BQ25" s="53">
        <v>1</v>
      </c>
      <c r="BR25" s="59">
        <v>37629</v>
      </c>
      <c r="BS25" s="57">
        <f>(BR25-I25)*12/365.25</f>
        <v>54.899383983572896</v>
      </c>
      <c r="BT25" s="53">
        <f t="shared" si="11"/>
        <v>1671</v>
      </c>
      <c r="BU25" s="53">
        <v>1</v>
      </c>
      <c r="BV25" s="53">
        <v>0</v>
      </c>
      <c r="BW25" s="53">
        <v>0</v>
      </c>
      <c r="BX25" s="59">
        <f>BR25</f>
        <v>37629</v>
      </c>
      <c r="BY25" s="53">
        <f>(BX25-I25)*12/365.25</f>
        <v>54.899383983572896</v>
      </c>
      <c r="BZ25" s="53">
        <f t="shared" si="13"/>
        <v>1671</v>
      </c>
      <c r="CA25" s="53">
        <f t="shared" si="20"/>
        <v>1</v>
      </c>
      <c r="CB25" s="59">
        <f>BX25</f>
        <v>37629</v>
      </c>
      <c r="CC25" s="53">
        <f>BY25</f>
        <v>54.899383983572896</v>
      </c>
      <c r="CD25" s="53">
        <f>BZ25</f>
        <v>1671</v>
      </c>
      <c r="CE25" s="74" t="s">
        <v>38</v>
      </c>
      <c r="CF25" s="69" t="s">
        <v>38</v>
      </c>
      <c r="CG25" s="53">
        <v>1</v>
      </c>
      <c r="CH25" s="61">
        <v>5.78</v>
      </c>
      <c r="CI25" s="69" t="s">
        <v>310</v>
      </c>
      <c r="CJ25" s="69" t="s">
        <v>38</v>
      </c>
      <c r="CK25" s="69" t="s">
        <v>363</v>
      </c>
      <c r="CL25" s="69"/>
      <c r="CM25" s="69" t="s">
        <v>408</v>
      </c>
      <c r="CN25" s="59">
        <v>36984</v>
      </c>
      <c r="CO25" s="53">
        <v>1</v>
      </c>
      <c r="CP25" s="53">
        <f>(CN25-AP25)*12/365.25</f>
        <v>33.577002053388092</v>
      </c>
      <c r="CQ25" s="53" t="s">
        <v>389</v>
      </c>
      <c r="CR25" s="69"/>
    </row>
    <row r="26" spans="1:96" s="113" customFormat="1" ht="25.5">
      <c r="A26" s="3" t="s">
        <v>195</v>
      </c>
      <c r="B26" s="3" t="s">
        <v>137</v>
      </c>
      <c r="C26" s="4">
        <v>33</v>
      </c>
      <c r="D26" s="27">
        <v>24</v>
      </c>
      <c r="E26" s="4">
        <v>9700</v>
      </c>
      <c r="F26" s="5">
        <v>16526</v>
      </c>
      <c r="G26" s="6">
        <v>2095697</v>
      </c>
      <c r="H26" s="7" t="s">
        <v>121</v>
      </c>
      <c r="I26" s="44">
        <v>36026</v>
      </c>
      <c r="J26" s="6">
        <f t="shared" si="0"/>
        <v>53.388090349075974</v>
      </c>
      <c r="K26" s="18">
        <v>0</v>
      </c>
      <c r="L26" s="7" t="s">
        <v>49</v>
      </c>
      <c r="M26" s="3" t="s">
        <v>281</v>
      </c>
      <c r="N26" s="4" t="s">
        <v>510</v>
      </c>
      <c r="O26" s="4">
        <v>0</v>
      </c>
      <c r="P26" s="4">
        <v>1</v>
      </c>
      <c r="Q26" s="4">
        <v>0</v>
      </c>
      <c r="R26" s="4">
        <v>0</v>
      </c>
      <c r="S26" s="4">
        <v>0</v>
      </c>
      <c r="T26" s="9" t="s">
        <v>186</v>
      </c>
      <c r="U26" s="37" t="s">
        <v>507</v>
      </c>
      <c r="V26" s="37">
        <v>0</v>
      </c>
      <c r="W26" s="37">
        <v>1</v>
      </c>
      <c r="X26" s="37">
        <v>0</v>
      </c>
      <c r="Y26" s="37">
        <v>0</v>
      </c>
      <c r="Z26" s="37">
        <v>0</v>
      </c>
      <c r="AA26" s="37">
        <v>0</v>
      </c>
      <c r="AB26" s="10">
        <v>35795</v>
      </c>
      <c r="AC26" s="10">
        <v>35795</v>
      </c>
      <c r="AD26" s="11">
        <f t="shared" si="1"/>
        <v>0</v>
      </c>
      <c r="AE26" s="11">
        <v>0</v>
      </c>
      <c r="AF26" s="11">
        <v>0</v>
      </c>
      <c r="AG26" s="10" t="s">
        <v>389</v>
      </c>
      <c r="AH26" s="35">
        <v>1</v>
      </c>
      <c r="AI26" s="12" t="s">
        <v>327</v>
      </c>
      <c r="AJ26" s="10">
        <v>35795</v>
      </c>
      <c r="AK26" s="11">
        <f t="shared" si="2"/>
        <v>7.5893223819301845</v>
      </c>
      <c r="AL26" s="11">
        <f t="shared" si="3"/>
        <v>0</v>
      </c>
      <c r="AM26" s="11">
        <f t="shared" si="4"/>
        <v>7.5893223819301845</v>
      </c>
      <c r="AN26" s="2">
        <v>4</v>
      </c>
      <c r="AO26" s="2">
        <v>0</v>
      </c>
      <c r="AP26" s="13">
        <v>36055</v>
      </c>
      <c r="AQ26" s="13">
        <v>36070</v>
      </c>
      <c r="AR26" s="14">
        <f t="shared" si="5"/>
        <v>2.1428571428571428</v>
      </c>
      <c r="AS26" s="20">
        <v>10</v>
      </c>
      <c r="AT26" s="20">
        <v>5</v>
      </c>
      <c r="AU26" s="20">
        <f t="shared" si="22"/>
        <v>50</v>
      </c>
      <c r="AV26" s="20">
        <v>1</v>
      </c>
      <c r="AW26" s="20">
        <v>1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2</v>
      </c>
      <c r="BD26" s="15">
        <v>0</v>
      </c>
      <c r="BE26" s="26"/>
      <c r="BF26" s="49">
        <v>38129</v>
      </c>
      <c r="BG26" s="17">
        <v>38077</v>
      </c>
      <c r="BH26" s="17"/>
      <c r="BI26" s="2"/>
      <c r="BJ26" s="35">
        <f t="shared" si="7"/>
        <v>67.383983572895275</v>
      </c>
      <c r="BK26" s="35">
        <f t="shared" si="8"/>
        <v>2051</v>
      </c>
      <c r="BL26" s="35">
        <v>0</v>
      </c>
      <c r="BM26" s="17"/>
      <c r="BN26" s="35"/>
      <c r="BO26" s="35">
        <f>(BF26-I26)/365.25*12</f>
        <v>69.092402464065714</v>
      </c>
      <c r="BP26" s="35">
        <f t="shared" si="9"/>
        <v>2103.0000000000005</v>
      </c>
      <c r="BQ26" s="35">
        <v>0</v>
      </c>
      <c r="BR26" s="17"/>
      <c r="BS26" s="11">
        <f>(BF26-I26)/365.25*12</f>
        <v>69.092402464065714</v>
      </c>
      <c r="BT26" s="35">
        <f t="shared" si="11"/>
        <v>2103.0000000000005</v>
      </c>
      <c r="BU26" s="35">
        <f>BQ26+BL26</f>
        <v>0</v>
      </c>
      <c r="BV26" s="35">
        <v>1</v>
      </c>
      <c r="BW26" s="35">
        <v>1</v>
      </c>
      <c r="BX26" s="17"/>
      <c r="BY26" s="35">
        <f>(BF26-I26)/365.25*12</f>
        <v>69.092402464065714</v>
      </c>
      <c r="BZ26" s="35">
        <f t="shared" si="13"/>
        <v>2103.0000000000005</v>
      </c>
      <c r="CA26" s="35">
        <f t="shared" si="20"/>
        <v>0</v>
      </c>
      <c r="CB26" s="17"/>
      <c r="CC26" s="35">
        <f t="shared" ref="CC26:CD28" si="23">BY26</f>
        <v>69.092402464065714</v>
      </c>
      <c r="CD26" s="35">
        <f t="shared" si="23"/>
        <v>2103.0000000000005</v>
      </c>
      <c r="CE26" s="8"/>
      <c r="CF26" s="9"/>
      <c r="CG26" s="35">
        <v>4</v>
      </c>
      <c r="CH26" s="43">
        <f>24.78+12.63+12.07+3.44</f>
        <v>52.92</v>
      </c>
      <c r="CI26" s="9"/>
      <c r="CJ26" s="9"/>
      <c r="CK26" s="9" t="s">
        <v>363</v>
      </c>
      <c r="CL26" s="9"/>
      <c r="CM26" s="9" t="s">
        <v>408</v>
      </c>
      <c r="CN26" s="17">
        <v>36847</v>
      </c>
      <c r="CO26" s="35">
        <v>1</v>
      </c>
      <c r="CP26" s="35">
        <f>(CN26-AP26)*12/365.25</f>
        <v>26.020533880903489</v>
      </c>
      <c r="CQ26" s="35" t="s">
        <v>389</v>
      </c>
      <c r="CR26" s="9"/>
    </row>
    <row r="27" spans="1:96">
      <c r="A27" s="3" t="s">
        <v>235</v>
      </c>
      <c r="B27" s="3" t="s">
        <v>59</v>
      </c>
      <c r="C27" s="4">
        <v>37</v>
      </c>
      <c r="D27" s="27">
        <v>25</v>
      </c>
      <c r="E27" s="4">
        <v>9700</v>
      </c>
      <c r="F27" s="5">
        <v>5639</v>
      </c>
      <c r="G27" s="6">
        <v>2084467</v>
      </c>
      <c r="H27" s="7" t="s">
        <v>121</v>
      </c>
      <c r="I27" s="44">
        <v>36090</v>
      </c>
      <c r="J27" s="6">
        <f t="shared" si="0"/>
        <v>83.370294318959623</v>
      </c>
      <c r="K27" s="18">
        <v>1</v>
      </c>
      <c r="L27" s="7" t="s">
        <v>49</v>
      </c>
      <c r="M27" s="3" t="s">
        <v>122</v>
      </c>
      <c r="N27" s="4" t="s">
        <v>403</v>
      </c>
      <c r="O27" s="4">
        <v>0</v>
      </c>
      <c r="P27" s="4">
        <v>0</v>
      </c>
      <c r="Q27" s="4">
        <v>1</v>
      </c>
      <c r="R27" s="4">
        <v>0</v>
      </c>
      <c r="S27" s="4">
        <v>0</v>
      </c>
      <c r="T27" s="9" t="s">
        <v>39</v>
      </c>
      <c r="U27" s="37" t="s">
        <v>402</v>
      </c>
      <c r="V27" s="37">
        <v>1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10">
        <v>33024</v>
      </c>
      <c r="AC27" s="10">
        <v>35915</v>
      </c>
      <c r="AD27" s="11">
        <f t="shared" si="1"/>
        <v>94.98151950718686</v>
      </c>
      <c r="AE27" s="11">
        <v>0</v>
      </c>
      <c r="AF27" s="11">
        <v>0</v>
      </c>
      <c r="AG27" s="10" t="s">
        <v>389</v>
      </c>
      <c r="AH27" s="35">
        <v>1</v>
      </c>
      <c r="AI27" s="12" t="s">
        <v>327</v>
      </c>
      <c r="AJ27" s="10">
        <v>35915</v>
      </c>
      <c r="AK27" s="11">
        <f t="shared" si="2"/>
        <v>5.7494866529774127</v>
      </c>
      <c r="AL27" s="11">
        <f t="shared" si="3"/>
        <v>0</v>
      </c>
      <c r="AM27" s="11">
        <f t="shared" si="4"/>
        <v>100.73100616016427</v>
      </c>
      <c r="AN27" s="2">
        <v>1</v>
      </c>
      <c r="AO27" s="2">
        <v>1</v>
      </c>
      <c r="AP27" s="13">
        <v>36102</v>
      </c>
      <c r="AQ27" s="13">
        <v>36117</v>
      </c>
      <c r="AR27" s="14">
        <f t="shared" si="5"/>
        <v>2.1428571428571428</v>
      </c>
      <c r="AS27" s="20">
        <v>12</v>
      </c>
      <c r="AT27" s="20">
        <v>4</v>
      </c>
      <c r="AU27" s="20">
        <f t="shared" si="22"/>
        <v>48</v>
      </c>
      <c r="AV27" s="20">
        <v>1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1</v>
      </c>
      <c r="BD27" s="15">
        <v>0</v>
      </c>
      <c r="BE27" s="26"/>
      <c r="BF27" s="49">
        <v>38134</v>
      </c>
      <c r="BG27" s="196">
        <v>38199</v>
      </c>
      <c r="BH27" s="196" t="s">
        <v>537</v>
      </c>
      <c r="BI27" s="2"/>
      <c r="BJ27" s="35">
        <f t="shared" si="7"/>
        <v>69.289527720739216</v>
      </c>
      <c r="BK27" s="35">
        <f t="shared" si="8"/>
        <v>2109</v>
      </c>
      <c r="BL27" s="35">
        <v>0</v>
      </c>
      <c r="BM27" s="17"/>
      <c r="BN27" s="35"/>
      <c r="BO27" s="35">
        <f>(BF27-I27)/365.25*12</f>
        <v>67.154004106776185</v>
      </c>
      <c r="BP27" s="35">
        <f t="shared" si="9"/>
        <v>2044</v>
      </c>
      <c r="BQ27" s="35">
        <v>0</v>
      </c>
      <c r="BR27" s="17"/>
      <c r="BS27" s="11">
        <f>(BF27-I27)/365.25*12</f>
        <v>67.154004106776185</v>
      </c>
      <c r="BT27" s="35">
        <f t="shared" si="11"/>
        <v>2044</v>
      </c>
      <c r="BU27" s="35">
        <f>BQ27+BL27</f>
        <v>0</v>
      </c>
      <c r="BV27" s="35">
        <v>1</v>
      </c>
      <c r="BW27" s="35">
        <v>1</v>
      </c>
      <c r="BX27" s="17"/>
      <c r="BY27" s="35">
        <f>(BF27-I27)/365.25*12</f>
        <v>67.154004106776185</v>
      </c>
      <c r="BZ27" s="35">
        <f t="shared" si="13"/>
        <v>2044</v>
      </c>
      <c r="CA27" s="35">
        <f t="shared" si="20"/>
        <v>0</v>
      </c>
      <c r="CB27" s="17"/>
      <c r="CC27" s="35">
        <f t="shared" si="23"/>
        <v>67.154004106776185</v>
      </c>
      <c r="CD27" s="35">
        <f t="shared" si="23"/>
        <v>2044</v>
      </c>
      <c r="CE27" s="8" t="s">
        <v>38</v>
      </c>
      <c r="CF27" s="9" t="s">
        <v>38</v>
      </c>
      <c r="CG27" s="35">
        <v>2</v>
      </c>
      <c r="CH27" s="43">
        <v>19.61</v>
      </c>
      <c r="CI27" s="9" t="s">
        <v>38</v>
      </c>
      <c r="CJ27" s="9" t="s">
        <v>38</v>
      </c>
      <c r="CK27" s="9" t="s">
        <v>38</v>
      </c>
      <c r="CL27" s="9"/>
      <c r="CM27" s="9" t="s">
        <v>408</v>
      </c>
      <c r="CN27" s="17"/>
      <c r="CO27" s="35">
        <v>0</v>
      </c>
      <c r="CP27" s="17"/>
      <c r="CQ27" s="17" t="s">
        <v>408</v>
      </c>
      <c r="CR27" s="9"/>
    </row>
    <row r="28" spans="1:96" s="113" customFormat="1">
      <c r="A28" s="3" t="s">
        <v>341</v>
      </c>
      <c r="B28" s="3" t="s">
        <v>237</v>
      </c>
      <c r="C28" s="4">
        <v>39</v>
      </c>
      <c r="D28" s="27">
        <v>26</v>
      </c>
      <c r="E28" s="4">
        <v>9700</v>
      </c>
      <c r="F28" s="5">
        <v>14338</v>
      </c>
      <c r="G28" s="6">
        <v>2095923</v>
      </c>
      <c r="H28" s="7" t="s">
        <v>121</v>
      </c>
      <c r="I28" s="44">
        <v>36510</v>
      </c>
      <c r="J28" s="6">
        <f t="shared" si="0"/>
        <v>60.703627652292951</v>
      </c>
      <c r="K28" s="18">
        <v>0</v>
      </c>
      <c r="L28" s="7" t="s">
        <v>49</v>
      </c>
      <c r="M28" s="3" t="s">
        <v>239</v>
      </c>
      <c r="N28" s="4" t="s">
        <v>107</v>
      </c>
      <c r="O28" s="4">
        <v>1</v>
      </c>
      <c r="P28" s="4">
        <v>0</v>
      </c>
      <c r="Q28" s="4">
        <v>0</v>
      </c>
      <c r="R28" s="4">
        <v>0</v>
      </c>
      <c r="S28" s="4">
        <v>0</v>
      </c>
      <c r="T28" s="9" t="s">
        <v>155</v>
      </c>
      <c r="U28" s="37" t="s">
        <v>402</v>
      </c>
      <c r="V28" s="37">
        <v>1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10">
        <v>36012</v>
      </c>
      <c r="AC28" s="10">
        <v>36105</v>
      </c>
      <c r="AD28" s="11">
        <f t="shared" si="1"/>
        <v>3.055441478439425</v>
      </c>
      <c r="AE28" s="11">
        <v>0</v>
      </c>
      <c r="AF28" s="11">
        <v>0</v>
      </c>
      <c r="AG28" s="10" t="s">
        <v>389</v>
      </c>
      <c r="AH28" s="35">
        <v>1</v>
      </c>
      <c r="AI28" s="12" t="s">
        <v>315</v>
      </c>
      <c r="AJ28" s="10">
        <v>36105</v>
      </c>
      <c r="AK28" s="11">
        <f t="shared" si="2"/>
        <v>13.305954825462011</v>
      </c>
      <c r="AL28" s="11">
        <f t="shared" si="3"/>
        <v>0</v>
      </c>
      <c r="AM28" s="11">
        <f t="shared" si="4"/>
        <v>16.361396303901437</v>
      </c>
      <c r="AN28" s="2">
        <v>5</v>
      </c>
      <c r="AO28" s="2">
        <v>0</v>
      </c>
      <c r="AP28" s="13">
        <v>36175</v>
      </c>
      <c r="AQ28" s="13">
        <v>36188</v>
      </c>
      <c r="AR28" s="14">
        <f t="shared" si="5"/>
        <v>1.8571428571428572</v>
      </c>
      <c r="AS28" s="20">
        <v>10</v>
      </c>
      <c r="AT28" s="20">
        <v>5</v>
      </c>
      <c r="AU28" s="20">
        <f t="shared" si="22"/>
        <v>50</v>
      </c>
      <c r="AV28" s="20">
        <v>0</v>
      </c>
      <c r="AW28" s="20">
        <v>0</v>
      </c>
      <c r="AX28" s="20">
        <v>1</v>
      </c>
      <c r="AY28" s="20">
        <v>0</v>
      </c>
      <c r="AZ28" s="20">
        <v>0</v>
      </c>
      <c r="BA28" s="20">
        <v>0</v>
      </c>
      <c r="BB28" s="20">
        <v>0</v>
      </c>
      <c r="BC28" s="20">
        <v>1</v>
      </c>
      <c r="BD28" s="15">
        <v>0</v>
      </c>
      <c r="BE28" s="26"/>
      <c r="BF28" s="49">
        <v>37660</v>
      </c>
      <c r="BG28" s="17">
        <v>38077</v>
      </c>
      <c r="BH28" s="17"/>
      <c r="BI28" s="2"/>
      <c r="BJ28" s="35">
        <f t="shared" si="7"/>
        <v>51.482546201232033</v>
      </c>
      <c r="BK28" s="35">
        <f t="shared" si="8"/>
        <v>1567</v>
      </c>
      <c r="BL28" s="35">
        <v>0</v>
      </c>
      <c r="BM28" s="17"/>
      <c r="BN28" s="35"/>
      <c r="BO28" s="35">
        <f>(BF28-I28)/365.25*12</f>
        <v>37.782340862422998</v>
      </c>
      <c r="BP28" s="35">
        <f t="shared" si="9"/>
        <v>1150</v>
      </c>
      <c r="BQ28" s="35">
        <v>0</v>
      </c>
      <c r="BR28" s="17"/>
      <c r="BS28" s="11">
        <f>(BF28-I28)/365.25*12</f>
        <v>37.782340862422998</v>
      </c>
      <c r="BT28" s="35">
        <f t="shared" si="11"/>
        <v>1150</v>
      </c>
      <c r="BU28" s="35">
        <f>BQ28+BL28</f>
        <v>0</v>
      </c>
      <c r="BV28" s="35">
        <v>1</v>
      </c>
      <c r="BW28" s="35">
        <v>1</v>
      </c>
      <c r="BX28" s="17"/>
      <c r="BY28" s="35">
        <f>(BF28-I28)/365.25*12</f>
        <v>37.782340862422998</v>
      </c>
      <c r="BZ28" s="35">
        <f t="shared" si="13"/>
        <v>1150</v>
      </c>
      <c r="CA28" s="35">
        <f t="shared" si="20"/>
        <v>0</v>
      </c>
      <c r="CB28" s="17"/>
      <c r="CC28" s="35">
        <f t="shared" si="23"/>
        <v>37.782340862422998</v>
      </c>
      <c r="CD28" s="35">
        <f t="shared" si="23"/>
        <v>1150</v>
      </c>
      <c r="CE28" s="8" t="s">
        <v>38</v>
      </c>
      <c r="CF28" s="9" t="s">
        <v>38</v>
      </c>
      <c r="CG28" s="35">
        <v>4</v>
      </c>
      <c r="CH28" s="43">
        <f>14.52+23.58+4.35+3.07+9.61</f>
        <v>55.129999999999995</v>
      </c>
      <c r="CI28" s="9" t="s">
        <v>38</v>
      </c>
      <c r="CJ28" s="9" t="s">
        <v>41</v>
      </c>
      <c r="CK28" s="9" t="s">
        <v>363</v>
      </c>
      <c r="CL28" s="9"/>
      <c r="CM28" s="9" t="s">
        <v>408</v>
      </c>
      <c r="CN28" s="17">
        <v>36433</v>
      </c>
      <c r="CO28" s="35">
        <v>1</v>
      </c>
      <c r="CP28" s="35">
        <f>(CN28-AP28)*12/365.25</f>
        <v>8.4763860369609851</v>
      </c>
      <c r="CQ28" s="17" t="s">
        <v>389</v>
      </c>
      <c r="CR28" s="9"/>
    </row>
    <row r="29" spans="1:96" s="113" customFormat="1" ht="51">
      <c r="A29" s="3" t="s">
        <v>5</v>
      </c>
      <c r="B29" s="3" t="s">
        <v>6</v>
      </c>
      <c r="C29" s="4">
        <v>42</v>
      </c>
      <c r="D29" s="27">
        <v>27</v>
      </c>
      <c r="E29" s="4">
        <v>9700</v>
      </c>
      <c r="F29" s="5">
        <v>12828</v>
      </c>
      <c r="G29" s="6">
        <v>2120465</v>
      </c>
      <c r="H29" s="7" t="s">
        <v>121</v>
      </c>
      <c r="I29" s="44">
        <v>36183</v>
      </c>
      <c r="J29" s="6">
        <f t="shared" si="0"/>
        <v>63.942505133470227</v>
      </c>
      <c r="K29" s="18">
        <v>0</v>
      </c>
      <c r="L29" s="7" t="s">
        <v>34</v>
      </c>
      <c r="M29" s="3" t="s">
        <v>127</v>
      </c>
      <c r="N29" s="4" t="s">
        <v>107</v>
      </c>
      <c r="O29" s="4">
        <v>1</v>
      </c>
      <c r="P29" s="4">
        <v>0</v>
      </c>
      <c r="Q29" s="4">
        <v>0</v>
      </c>
      <c r="R29" s="4">
        <v>0</v>
      </c>
      <c r="S29" s="4">
        <v>0</v>
      </c>
      <c r="T29" s="9" t="s">
        <v>155</v>
      </c>
      <c r="U29" s="37" t="s">
        <v>402</v>
      </c>
      <c r="V29" s="37">
        <v>1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10">
        <v>36113</v>
      </c>
      <c r="AC29" s="10">
        <v>36113</v>
      </c>
      <c r="AD29" s="11">
        <f t="shared" si="1"/>
        <v>0</v>
      </c>
      <c r="AE29" s="11">
        <v>0</v>
      </c>
      <c r="AF29" s="11">
        <v>0</v>
      </c>
      <c r="AG29" s="10" t="s">
        <v>389</v>
      </c>
      <c r="AH29" s="35">
        <v>1</v>
      </c>
      <c r="AI29" s="12" t="s">
        <v>315</v>
      </c>
      <c r="AJ29" s="10">
        <v>36113</v>
      </c>
      <c r="AK29" s="11">
        <f t="shared" si="2"/>
        <v>2.299794661190965</v>
      </c>
      <c r="AL29" s="11">
        <f t="shared" si="3"/>
        <v>0</v>
      </c>
      <c r="AM29" s="11">
        <f t="shared" si="4"/>
        <v>2.299794661190965</v>
      </c>
      <c r="AN29" s="2">
        <v>2</v>
      </c>
      <c r="AO29" s="2">
        <v>0</v>
      </c>
      <c r="AP29" s="13">
        <v>36210</v>
      </c>
      <c r="AQ29" s="13">
        <v>36223</v>
      </c>
      <c r="AR29" s="14">
        <f t="shared" si="5"/>
        <v>1.8571428571428572</v>
      </c>
      <c r="AS29" s="20">
        <v>10</v>
      </c>
      <c r="AT29" s="20">
        <v>5</v>
      </c>
      <c r="AU29" s="20">
        <f t="shared" si="22"/>
        <v>50</v>
      </c>
      <c r="AV29" s="20">
        <v>0</v>
      </c>
      <c r="AW29" s="20">
        <v>0</v>
      </c>
      <c r="AX29" s="20">
        <v>1</v>
      </c>
      <c r="AY29" s="20">
        <v>0</v>
      </c>
      <c r="AZ29" s="20">
        <v>0</v>
      </c>
      <c r="BA29" s="20">
        <v>0</v>
      </c>
      <c r="BB29" s="20">
        <v>0</v>
      </c>
      <c r="BC29" s="20">
        <v>1</v>
      </c>
      <c r="BD29" s="15">
        <v>0</v>
      </c>
      <c r="BE29" s="26"/>
      <c r="BF29" s="44">
        <v>37706</v>
      </c>
      <c r="BG29" s="17">
        <v>38077</v>
      </c>
      <c r="BH29" s="17"/>
      <c r="BI29" s="2"/>
      <c r="BJ29" s="35">
        <f t="shared" si="7"/>
        <v>62.225872689938399</v>
      </c>
      <c r="BK29" s="35">
        <f t="shared" si="8"/>
        <v>1894</v>
      </c>
      <c r="BL29" s="35">
        <v>1</v>
      </c>
      <c r="BM29" s="17">
        <v>36830</v>
      </c>
      <c r="BN29" s="35">
        <f>(BM29-AQ29)*12/365.25</f>
        <v>19.942505133470227</v>
      </c>
      <c r="BO29" s="35">
        <f>(BM29-I29)*12/365.25</f>
        <v>21.256673511293634</v>
      </c>
      <c r="BP29" s="35">
        <f t="shared" si="9"/>
        <v>647</v>
      </c>
      <c r="BQ29" s="35">
        <v>1</v>
      </c>
      <c r="BR29" s="17">
        <v>37306</v>
      </c>
      <c r="BS29" s="11">
        <f>(BR29-I29)*12/365.25</f>
        <v>36.895277207392198</v>
      </c>
      <c r="BT29" s="35">
        <f t="shared" si="11"/>
        <v>1123</v>
      </c>
      <c r="BU29" s="35">
        <v>1</v>
      </c>
      <c r="BV29" s="35">
        <v>0</v>
      </c>
      <c r="BW29" s="35">
        <v>0</v>
      </c>
      <c r="BX29" s="17">
        <f>BM29</f>
        <v>36830</v>
      </c>
      <c r="BY29" s="35">
        <f>(BX29-I29)*12/365.25</f>
        <v>21.256673511293634</v>
      </c>
      <c r="BZ29" s="35">
        <f t="shared" si="13"/>
        <v>647</v>
      </c>
      <c r="CA29" s="50">
        <f t="shared" si="20"/>
        <v>1</v>
      </c>
      <c r="CB29" s="48">
        <v>37306</v>
      </c>
      <c r="CC29" s="50">
        <f>(CB29-I29)/365.25*12</f>
        <v>36.895277207392198</v>
      </c>
      <c r="CD29" s="50">
        <f>CC29*365.25/12</f>
        <v>1123</v>
      </c>
      <c r="CE29" s="8" t="s">
        <v>22</v>
      </c>
      <c r="CF29" s="9" t="s">
        <v>80</v>
      </c>
      <c r="CG29" s="35">
        <v>3</v>
      </c>
      <c r="CH29" s="43">
        <f>8.48+11.59</f>
        <v>20.07</v>
      </c>
      <c r="CI29" s="9" t="s">
        <v>519</v>
      </c>
      <c r="CJ29" s="9" t="s">
        <v>41</v>
      </c>
      <c r="CK29" s="9" t="s">
        <v>364</v>
      </c>
      <c r="CL29" s="9" t="s">
        <v>363</v>
      </c>
      <c r="CM29" s="9" t="s">
        <v>389</v>
      </c>
      <c r="CN29" s="17"/>
      <c r="CO29" s="35">
        <v>0</v>
      </c>
      <c r="CP29" s="17"/>
      <c r="CQ29" s="17" t="s">
        <v>408</v>
      </c>
      <c r="CR29" s="9"/>
    </row>
    <row r="30" spans="1:96" s="113" customFormat="1" ht="25.5">
      <c r="A30" s="3" t="s">
        <v>2</v>
      </c>
      <c r="B30" s="3" t="s">
        <v>277</v>
      </c>
      <c r="C30" s="4">
        <v>50</v>
      </c>
      <c r="D30" s="27">
        <v>28</v>
      </c>
      <c r="E30" s="4">
        <v>9700</v>
      </c>
      <c r="F30" s="5">
        <v>18025</v>
      </c>
      <c r="G30" s="6">
        <v>1467555</v>
      </c>
      <c r="H30" s="7" t="s">
        <v>121</v>
      </c>
      <c r="I30" s="44">
        <v>36294</v>
      </c>
      <c r="J30" s="6">
        <f t="shared" si="0"/>
        <v>50.017796030116358</v>
      </c>
      <c r="K30" s="18">
        <v>1</v>
      </c>
      <c r="L30" s="7" t="s">
        <v>49</v>
      </c>
      <c r="M30" s="3" t="s">
        <v>52</v>
      </c>
      <c r="N30" s="4" t="s">
        <v>509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9" t="s">
        <v>155</v>
      </c>
      <c r="U30" s="37" t="s">
        <v>402</v>
      </c>
      <c r="V30" s="37">
        <v>1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10">
        <v>32111</v>
      </c>
      <c r="AC30" s="10">
        <v>33769</v>
      </c>
      <c r="AD30" s="11">
        <f t="shared" si="1"/>
        <v>54.472279260780283</v>
      </c>
      <c r="AE30" s="11">
        <v>1</v>
      </c>
      <c r="AF30" s="11">
        <v>0</v>
      </c>
      <c r="AG30" s="10" t="s">
        <v>390</v>
      </c>
      <c r="AH30" s="35">
        <v>1</v>
      </c>
      <c r="AI30" s="12" t="s">
        <v>327</v>
      </c>
      <c r="AJ30" s="10">
        <v>34499</v>
      </c>
      <c r="AK30" s="11">
        <f t="shared" si="2"/>
        <v>58.973305954825463</v>
      </c>
      <c r="AL30" s="11">
        <f t="shared" si="3"/>
        <v>23.983572895277206</v>
      </c>
      <c r="AM30" s="11">
        <f t="shared" si="4"/>
        <v>137.42915811088295</v>
      </c>
      <c r="AN30" s="2">
        <v>2</v>
      </c>
      <c r="AO30" s="2">
        <v>0</v>
      </c>
      <c r="AP30" s="13">
        <v>36320</v>
      </c>
      <c r="AQ30" s="13">
        <v>36335</v>
      </c>
      <c r="AR30" s="14">
        <f t="shared" si="5"/>
        <v>2.1428571428571428</v>
      </c>
      <c r="AS30" s="20">
        <v>11</v>
      </c>
      <c r="AT30" s="20">
        <v>5</v>
      </c>
      <c r="AU30" s="20">
        <f t="shared" si="22"/>
        <v>55</v>
      </c>
      <c r="AV30" s="20">
        <v>1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1</v>
      </c>
      <c r="BD30" s="18">
        <v>0</v>
      </c>
      <c r="BE30" s="26"/>
      <c r="BF30" s="44">
        <v>37709</v>
      </c>
      <c r="BG30" s="17">
        <v>38077</v>
      </c>
      <c r="BH30" s="17"/>
      <c r="BI30" s="2"/>
      <c r="BJ30" s="35">
        <f t="shared" si="7"/>
        <v>58.579055441478438</v>
      </c>
      <c r="BK30" s="35">
        <f t="shared" si="8"/>
        <v>1783</v>
      </c>
      <c r="BL30" s="35">
        <v>1</v>
      </c>
      <c r="BM30" s="17">
        <v>36710</v>
      </c>
      <c r="BN30" s="35">
        <f>(BM30-AQ30)*12/365.25</f>
        <v>12.320328542094456</v>
      </c>
      <c r="BO30" s="35">
        <f>(BM30-I30)*12/365.25</f>
        <v>13.66735112936345</v>
      </c>
      <c r="BP30" s="35">
        <f t="shared" si="9"/>
        <v>416</v>
      </c>
      <c r="BQ30" s="35">
        <v>0</v>
      </c>
      <c r="BR30" s="17"/>
      <c r="BS30" s="11">
        <f>(BF30-I30)/365.25*12</f>
        <v>46.488706365503084</v>
      </c>
      <c r="BT30" s="35">
        <f t="shared" si="11"/>
        <v>1415</v>
      </c>
      <c r="BU30" s="35">
        <f>BQ30+BL30</f>
        <v>1</v>
      </c>
      <c r="BV30" s="35">
        <v>1</v>
      </c>
      <c r="BW30" s="35">
        <v>1</v>
      </c>
      <c r="BX30" s="17">
        <f>BM30</f>
        <v>36710</v>
      </c>
      <c r="BY30" s="35">
        <f>(BX30-I30)*12/365.25</f>
        <v>13.66735112936345</v>
      </c>
      <c r="BZ30" s="35">
        <f t="shared" si="13"/>
        <v>416</v>
      </c>
      <c r="CA30" s="50">
        <v>0</v>
      </c>
      <c r="CB30" s="48">
        <f>BF30</f>
        <v>37709</v>
      </c>
      <c r="CC30" s="50">
        <f>(CB30-I30)/365.25*12</f>
        <v>46.488706365503084</v>
      </c>
      <c r="CD30" s="50">
        <f>CC30*365.25/12</f>
        <v>1415</v>
      </c>
      <c r="CE30" s="8" t="s">
        <v>22</v>
      </c>
      <c r="CF30" s="9" t="s">
        <v>100</v>
      </c>
      <c r="CG30" s="35">
        <v>1</v>
      </c>
      <c r="CH30" s="43">
        <f>3.18+4.18</f>
        <v>7.3599999999999994</v>
      </c>
      <c r="CI30" s="9" t="s">
        <v>315</v>
      </c>
      <c r="CJ30" s="9" t="s">
        <v>38</v>
      </c>
      <c r="CK30" s="9" t="s">
        <v>38</v>
      </c>
      <c r="CL30" s="9" t="s">
        <v>363</v>
      </c>
      <c r="CM30" s="9" t="s">
        <v>389</v>
      </c>
      <c r="CN30" s="17"/>
      <c r="CO30" s="35">
        <v>0</v>
      </c>
      <c r="CP30" s="17"/>
      <c r="CQ30" s="17" t="s">
        <v>408</v>
      </c>
      <c r="CR30" s="9"/>
    </row>
    <row r="31" spans="1:96" s="60" customFormat="1">
      <c r="A31" s="62" t="s">
        <v>218</v>
      </c>
      <c r="B31" s="62" t="s">
        <v>222</v>
      </c>
      <c r="C31" s="63">
        <v>56</v>
      </c>
      <c r="D31" s="52">
        <v>29</v>
      </c>
      <c r="E31" s="63">
        <v>9700</v>
      </c>
      <c r="F31" s="64">
        <v>11651</v>
      </c>
      <c r="G31" s="65">
        <v>1940740</v>
      </c>
      <c r="H31" s="66" t="s">
        <v>121</v>
      </c>
      <c r="I31" s="67">
        <v>36393</v>
      </c>
      <c r="J31" s="65">
        <f t="shared" si="0"/>
        <v>67.739904175222449</v>
      </c>
      <c r="K31" s="68">
        <v>0</v>
      </c>
      <c r="L31" s="66" t="s">
        <v>34</v>
      </c>
      <c r="M31" s="62" t="s">
        <v>64</v>
      </c>
      <c r="N31" s="63" t="s">
        <v>107</v>
      </c>
      <c r="O31" s="63">
        <v>1</v>
      </c>
      <c r="P31" s="63">
        <v>0</v>
      </c>
      <c r="Q31" s="63">
        <v>0</v>
      </c>
      <c r="R31" s="63">
        <v>0</v>
      </c>
      <c r="S31" s="63">
        <v>0</v>
      </c>
      <c r="T31" s="69" t="s">
        <v>155</v>
      </c>
      <c r="U31" s="55" t="s">
        <v>402</v>
      </c>
      <c r="V31" s="55">
        <v>1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6">
        <v>35827</v>
      </c>
      <c r="AC31" s="56">
        <v>35836</v>
      </c>
      <c r="AD31" s="57">
        <f t="shared" si="1"/>
        <v>0.29568788501026694</v>
      </c>
      <c r="AE31" s="57">
        <v>1</v>
      </c>
      <c r="AF31" s="57">
        <v>0</v>
      </c>
      <c r="AG31" s="56" t="s">
        <v>389</v>
      </c>
      <c r="AH31" s="53">
        <v>1</v>
      </c>
      <c r="AI31" s="70" t="s">
        <v>315</v>
      </c>
      <c r="AJ31" s="56">
        <v>36368</v>
      </c>
      <c r="AK31" s="57">
        <f t="shared" si="2"/>
        <v>0.82135523613963035</v>
      </c>
      <c r="AL31" s="57">
        <f t="shared" si="3"/>
        <v>17.478439425051334</v>
      </c>
      <c r="AM31" s="57">
        <f t="shared" si="4"/>
        <v>18.595482546201232</v>
      </c>
      <c r="AN31" s="54">
        <v>2</v>
      </c>
      <c r="AO31" s="54">
        <v>0</v>
      </c>
      <c r="AP31" s="71">
        <v>36405</v>
      </c>
      <c r="AQ31" s="71">
        <v>36418</v>
      </c>
      <c r="AR31" s="72">
        <f t="shared" si="5"/>
        <v>1.8571428571428572</v>
      </c>
      <c r="AS31" s="58">
        <v>10</v>
      </c>
      <c r="AT31" s="58">
        <v>4.5</v>
      </c>
      <c r="AU31" s="58">
        <f t="shared" si="22"/>
        <v>45</v>
      </c>
      <c r="AV31" s="58">
        <v>0</v>
      </c>
      <c r="AW31" s="58">
        <v>0</v>
      </c>
      <c r="AX31" s="58">
        <v>1</v>
      </c>
      <c r="AY31" s="58">
        <v>0</v>
      </c>
      <c r="AZ31" s="58">
        <v>0</v>
      </c>
      <c r="BA31" s="58">
        <v>0</v>
      </c>
      <c r="BB31" s="58">
        <v>0</v>
      </c>
      <c r="BC31" s="58">
        <v>1</v>
      </c>
      <c r="BD31" s="68">
        <v>1</v>
      </c>
      <c r="BE31" s="73">
        <v>37744</v>
      </c>
      <c r="BF31" s="67">
        <v>37625</v>
      </c>
      <c r="BG31" s="59">
        <v>37744</v>
      </c>
      <c r="BH31" s="59"/>
      <c r="BI31" s="54"/>
      <c r="BJ31" s="53">
        <f t="shared" si="7"/>
        <v>44.386036960985628</v>
      </c>
      <c r="BK31" s="53">
        <f t="shared" si="8"/>
        <v>1351</v>
      </c>
      <c r="BL31" s="53">
        <v>0</v>
      </c>
      <c r="BM31" s="59"/>
      <c r="BN31" s="53"/>
      <c r="BO31" s="53">
        <f t="shared" ref="BO31:BO42" si="24">(BF31-I31)/365.25*12</f>
        <v>40.476386036960989</v>
      </c>
      <c r="BP31" s="53">
        <f t="shared" si="9"/>
        <v>1232.0000000000002</v>
      </c>
      <c r="BQ31" s="53">
        <v>1</v>
      </c>
      <c r="BR31" s="59">
        <v>37330</v>
      </c>
      <c r="BS31" s="57">
        <f>(BR31-I31)*12/365.25</f>
        <v>30.784394250513348</v>
      </c>
      <c r="BT31" s="53">
        <f t="shared" si="11"/>
        <v>937</v>
      </c>
      <c r="BU31" s="53">
        <v>1</v>
      </c>
      <c r="BV31" s="53">
        <v>0</v>
      </c>
      <c r="BW31" s="53">
        <v>0</v>
      </c>
      <c r="BX31" s="59">
        <f>BR31</f>
        <v>37330</v>
      </c>
      <c r="BY31" s="53">
        <f>(BX31-I31)*12/365.25</f>
        <v>30.784394250513348</v>
      </c>
      <c r="BZ31" s="53">
        <f t="shared" si="13"/>
        <v>937</v>
      </c>
      <c r="CA31" s="53">
        <f t="shared" ref="CA31:CA44" si="25">BU31</f>
        <v>1</v>
      </c>
      <c r="CB31" s="59">
        <f t="shared" ref="CB31:CD32" si="26">BX31</f>
        <v>37330</v>
      </c>
      <c r="CC31" s="53">
        <f t="shared" si="26"/>
        <v>30.784394250513348</v>
      </c>
      <c r="CD31" s="53">
        <f t="shared" si="26"/>
        <v>937</v>
      </c>
      <c r="CE31" s="74" t="s">
        <v>38</v>
      </c>
      <c r="CF31" s="69" t="s">
        <v>38</v>
      </c>
      <c r="CG31" s="53">
        <v>3</v>
      </c>
      <c r="CH31" s="61">
        <f>31.16+9.04</f>
        <v>40.200000000000003</v>
      </c>
      <c r="CI31" s="69" t="s">
        <v>38</v>
      </c>
      <c r="CJ31" s="69" t="s">
        <v>41</v>
      </c>
      <c r="CK31" s="69" t="s">
        <v>38</v>
      </c>
      <c r="CL31" s="69"/>
      <c r="CM31" s="69" t="s">
        <v>408</v>
      </c>
      <c r="CN31" s="59">
        <v>36810</v>
      </c>
      <c r="CO31" s="53">
        <v>1</v>
      </c>
      <c r="CP31" s="53">
        <f>(CN31-AP31)*12/365.25</f>
        <v>13.305954825462011</v>
      </c>
      <c r="CQ31" s="53" t="s">
        <v>389</v>
      </c>
      <c r="CR31" s="69"/>
    </row>
    <row r="32" spans="1:96" s="60" customFormat="1" ht="25.5">
      <c r="A32" s="3" t="s">
        <v>406</v>
      </c>
      <c r="B32" s="3" t="s">
        <v>407</v>
      </c>
      <c r="C32" s="4">
        <v>58</v>
      </c>
      <c r="D32" s="27">
        <v>30</v>
      </c>
      <c r="E32" s="4">
        <v>9700</v>
      </c>
      <c r="F32" s="10">
        <v>16645</v>
      </c>
      <c r="G32" s="6">
        <v>788102</v>
      </c>
      <c r="H32" s="7" t="s">
        <v>121</v>
      </c>
      <c r="I32" s="44">
        <v>36404</v>
      </c>
      <c r="J32" s="6">
        <f t="shared" si="0"/>
        <v>54.097193702943187</v>
      </c>
      <c r="K32" s="18">
        <v>1</v>
      </c>
      <c r="L32" s="7" t="s">
        <v>49</v>
      </c>
      <c r="M32" s="3" t="s">
        <v>122</v>
      </c>
      <c r="N32" s="4" t="s">
        <v>403</v>
      </c>
      <c r="O32" s="4">
        <v>0</v>
      </c>
      <c r="P32" s="4">
        <v>0</v>
      </c>
      <c r="Q32" s="4">
        <v>1</v>
      </c>
      <c r="R32" s="4">
        <v>0</v>
      </c>
      <c r="S32" s="4">
        <v>0</v>
      </c>
      <c r="T32" s="9" t="s">
        <v>244</v>
      </c>
      <c r="U32" s="37" t="s">
        <v>402</v>
      </c>
      <c r="V32" s="37">
        <v>1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10">
        <v>33877</v>
      </c>
      <c r="AC32" s="10">
        <v>35922</v>
      </c>
      <c r="AD32" s="11">
        <f t="shared" si="1"/>
        <v>67.186858316221759</v>
      </c>
      <c r="AE32" s="11">
        <v>0</v>
      </c>
      <c r="AF32" s="11">
        <v>1</v>
      </c>
      <c r="AG32" s="10" t="s">
        <v>387</v>
      </c>
      <c r="AH32" s="35">
        <v>1</v>
      </c>
      <c r="AI32" s="19" t="s">
        <v>315</v>
      </c>
      <c r="AJ32" s="10">
        <v>35922</v>
      </c>
      <c r="AK32" s="11">
        <f t="shared" si="2"/>
        <v>15.835728952772074</v>
      </c>
      <c r="AL32" s="11">
        <f t="shared" si="3"/>
        <v>0</v>
      </c>
      <c r="AM32" s="11">
        <f t="shared" si="4"/>
        <v>83.022587268993846</v>
      </c>
      <c r="AN32" s="2">
        <v>5</v>
      </c>
      <c r="AO32" s="2">
        <v>0</v>
      </c>
      <c r="AP32" s="13">
        <v>36405</v>
      </c>
      <c r="AQ32" s="13">
        <v>36419</v>
      </c>
      <c r="AR32" s="14">
        <f t="shared" si="5"/>
        <v>2</v>
      </c>
      <c r="AS32" s="20">
        <v>10</v>
      </c>
      <c r="AT32" s="20">
        <v>5</v>
      </c>
      <c r="AU32" s="20">
        <f t="shared" si="22"/>
        <v>50</v>
      </c>
      <c r="AV32" s="20">
        <v>0</v>
      </c>
      <c r="AW32" s="20">
        <v>0</v>
      </c>
      <c r="AX32" s="20">
        <v>1</v>
      </c>
      <c r="AY32" s="20">
        <v>0</v>
      </c>
      <c r="AZ32" s="20">
        <v>0</v>
      </c>
      <c r="BA32" s="20">
        <v>0</v>
      </c>
      <c r="BB32" s="20">
        <v>0</v>
      </c>
      <c r="BC32" s="20">
        <v>1</v>
      </c>
      <c r="BD32" s="20">
        <v>0</v>
      </c>
      <c r="BE32" s="26"/>
      <c r="BF32" s="44">
        <v>38121</v>
      </c>
      <c r="BG32" s="196">
        <v>38199</v>
      </c>
      <c r="BH32" s="196" t="s">
        <v>537</v>
      </c>
      <c r="BI32" s="2"/>
      <c r="BJ32" s="35">
        <f t="shared" si="7"/>
        <v>58.973305954825463</v>
      </c>
      <c r="BK32" s="35">
        <f t="shared" si="8"/>
        <v>1795</v>
      </c>
      <c r="BL32" s="35">
        <v>0</v>
      </c>
      <c r="BM32" s="17"/>
      <c r="BN32" s="35"/>
      <c r="BO32" s="35">
        <f t="shared" si="24"/>
        <v>56.410677618069819</v>
      </c>
      <c r="BP32" s="35">
        <f t="shared" si="9"/>
        <v>1717</v>
      </c>
      <c r="BQ32" s="35">
        <v>1</v>
      </c>
      <c r="BR32" s="17">
        <v>36677</v>
      </c>
      <c r="BS32" s="11">
        <f>(BR32-I32)*12/365.25</f>
        <v>8.9691991786447645</v>
      </c>
      <c r="BT32" s="35">
        <f t="shared" si="11"/>
        <v>273</v>
      </c>
      <c r="BU32" s="35">
        <f>BQ32+BL32</f>
        <v>1</v>
      </c>
      <c r="BV32" s="35">
        <v>0</v>
      </c>
      <c r="BW32" s="35">
        <v>0</v>
      </c>
      <c r="BX32" s="17">
        <f>BR32</f>
        <v>36677</v>
      </c>
      <c r="BY32" s="35">
        <f>(BX32-I32)*12/365.25</f>
        <v>8.9691991786447645</v>
      </c>
      <c r="BZ32" s="35">
        <f t="shared" si="13"/>
        <v>273</v>
      </c>
      <c r="CA32" s="35">
        <f t="shared" si="25"/>
        <v>1</v>
      </c>
      <c r="CB32" s="17">
        <f t="shared" si="26"/>
        <v>36677</v>
      </c>
      <c r="CC32" s="35">
        <f t="shared" si="26"/>
        <v>8.9691991786447645</v>
      </c>
      <c r="CD32" s="35">
        <f t="shared" si="26"/>
        <v>273</v>
      </c>
      <c r="CE32" s="8" t="s">
        <v>409</v>
      </c>
      <c r="CF32" s="8" t="s">
        <v>410</v>
      </c>
      <c r="CG32" s="18">
        <v>2</v>
      </c>
      <c r="CH32" s="45">
        <f>2.1+6.4+1.8+5.6+0.8</f>
        <v>16.7</v>
      </c>
      <c r="CI32" s="9" t="s">
        <v>411</v>
      </c>
      <c r="CJ32" s="19" t="s">
        <v>315</v>
      </c>
      <c r="CK32" s="20" t="s">
        <v>364</v>
      </c>
      <c r="CL32" s="19"/>
      <c r="CM32" s="20" t="s">
        <v>408</v>
      </c>
      <c r="CN32" s="17"/>
      <c r="CO32" s="35">
        <v>0</v>
      </c>
      <c r="CP32" s="35"/>
      <c r="CQ32" s="35" t="s">
        <v>408</v>
      </c>
      <c r="CR32" s="19"/>
    </row>
    <row r="33" spans="1:96" s="113" customFormat="1">
      <c r="A33" s="3" t="s">
        <v>332</v>
      </c>
      <c r="B33" s="3" t="s">
        <v>46</v>
      </c>
      <c r="C33" s="4">
        <v>62</v>
      </c>
      <c r="D33" s="27">
        <v>31</v>
      </c>
      <c r="E33" s="4">
        <v>9700</v>
      </c>
      <c r="F33" s="5">
        <v>20493</v>
      </c>
      <c r="G33" s="6">
        <v>2177920</v>
      </c>
      <c r="H33" s="7" t="s">
        <v>121</v>
      </c>
      <c r="I33" s="44">
        <v>36442</v>
      </c>
      <c r="J33" s="6">
        <f t="shared" si="0"/>
        <v>43.665982203969882</v>
      </c>
      <c r="K33" s="18">
        <v>1</v>
      </c>
      <c r="L33" s="7" t="s">
        <v>49</v>
      </c>
      <c r="M33" s="3" t="s">
        <v>122</v>
      </c>
      <c r="N33" s="4" t="s">
        <v>403</v>
      </c>
      <c r="O33" s="4">
        <v>0</v>
      </c>
      <c r="P33" s="4">
        <v>0</v>
      </c>
      <c r="Q33" s="4">
        <v>1</v>
      </c>
      <c r="R33" s="4">
        <v>0</v>
      </c>
      <c r="S33" s="4">
        <v>0</v>
      </c>
      <c r="T33" s="9" t="s">
        <v>39</v>
      </c>
      <c r="U33" s="37" t="s">
        <v>402</v>
      </c>
      <c r="V33" s="37">
        <v>1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10">
        <v>34758</v>
      </c>
      <c r="AC33" s="10">
        <v>36217</v>
      </c>
      <c r="AD33" s="11">
        <f t="shared" si="1"/>
        <v>47.93429158110883</v>
      </c>
      <c r="AE33" s="11">
        <v>0</v>
      </c>
      <c r="AF33" s="11">
        <v>1</v>
      </c>
      <c r="AG33" s="10" t="s">
        <v>390</v>
      </c>
      <c r="AH33" s="35">
        <v>1</v>
      </c>
      <c r="AI33" s="12" t="s">
        <v>270</v>
      </c>
      <c r="AJ33" s="10">
        <v>36217</v>
      </c>
      <c r="AK33" s="11">
        <f t="shared" si="2"/>
        <v>7.3921971252566738</v>
      </c>
      <c r="AL33" s="11">
        <f t="shared" si="3"/>
        <v>0</v>
      </c>
      <c r="AM33" s="11">
        <f t="shared" si="4"/>
        <v>55.326488706365502</v>
      </c>
      <c r="AN33" s="2">
        <v>5</v>
      </c>
      <c r="AO33" s="2">
        <v>0</v>
      </c>
      <c r="AP33" s="13">
        <v>36459</v>
      </c>
      <c r="AQ33" s="13">
        <v>36470</v>
      </c>
      <c r="AR33" s="14">
        <f t="shared" si="5"/>
        <v>1.5714285714285714</v>
      </c>
      <c r="AS33" s="20">
        <v>10</v>
      </c>
      <c r="AT33" s="20">
        <v>5</v>
      </c>
      <c r="AU33" s="20">
        <f t="shared" si="22"/>
        <v>50</v>
      </c>
      <c r="AV33" s="20">
        <v>0</v>
      </c>
      <c r="AW33" s="20">
        <v>0</v>
      </c>
      <c r="AX33" s="20">
        <v>1</v>
      </c>
      <c r="AY33" s="20">
        <v>0</v>
      </c>
      <c r="AZ33" s="20">
        <v>0</v>
      </c>
      <c r="BA33" s="20">
        <v>0</v>
      </c>
      <c r="BB33" s="20">
        <v>0</v>
      </c>
      <c r="BC33" s="20">
        <v>1</v>
      </c>
      <c r="BD33" s="18">
        <v>0</v>
      </c>
      <c r="BE33" s="26"/>
      <c r="BF33" s="49">
        <v>38077</v>
      </c>
      <c r="BG33" s="196">
        <v>38199</v>
      </c>
      <c r="BH33" s="196" t="s">
        <v>537</v>
      </c>
      <c r="BI33" s="2"/>
      <c r="BJ33" s="35">
        <f t="shared" si="7"/>
        <v>57.724845995893219</v>
      </c>
      <c r="BK33" s="35">
        <f t="shared" si="8"/>
        <v>1756.9999999999998</v>
      </c>
      <c r="BL33" s="35">
        <v>0</v>
      </c>
      <c r="BM33" s="17"/>
      <c r="BN33" s="35"/>
      <c r="BO33" s="35">
        <f t="shared" si="24"/>
        <v>53.716632443531836</v>
      </c>
      <c r="BP33" s="35">
        <f t="shared" si="9"/>
        <v>1635.0000000000002</v>
      </c>
      <c r="BQ33" s="35">
        <v>0</v>
      </c>
      <c r="BR33" s="17"/>
      <c r="BS33" s="11">
        <f>(BF33-I33)/365.25*12</f>
        <v>53.716632443531836</v>
      </c>
      <c r="BT33" s="35">
        <f t="shared" si="11"/>
        <v>1635.0000000000002</v>
      </c>
      <c r="BU33" s="35">
        <f>BQ33+BL33</f>
        <v>0</v>
      </c>
      <c r="BV33" s="35">
        <v>1</v>
      </c>
      <c r="BW33" s="35">
        <v>1</v>
      </c>
      <c r="BX33" s="17"/>
      <c r="BY33" s="35">
        <f>(BF33-I33)/365.25*12</f>
        <v>53.716632443531836</v>
      </c>
      <c r="BZ33" s="35">
        <f t="shared" si="13"/>
        <v>1635.0000000000002</v>
      </c>
      <c r="CA33" s="35">
        <f t="shared" si="25"/>
        <v>0</v>
      </c>
      <c r="CB33" s="17"/>
      <c r="CC33" s="35">
        <f t="shared" ref="CC33:CC44" si="27">BY33</f>
        <v>53.716632443531836</v>
      </c>
      <c r="CD33" s="35">
        <f t="shared" ref="CD33:CD44" si="28">BZ33</f>
        <v>1635.0000000000002</v>
      </c>
      <c r="CE33" s="8"/>
      <c r="CF33" s="9"/>
      <c r="CG33" s="35">
        <v>2</v>
      </c>
      <c r="CH33" s="43">
        <f>17.19+0.37+0.98+0.14+0.57</f>
        <v>19.250000000000004</v>
      </c>
      <c r="CI33" s="9"/>
      <c r="CJ33" s="9"/>
      <c r="CK33" s="9" t="s">
        <v>38</v>
      </c>
      <c r="CL33" s="9"/>
      <c r="CM33" s="9" t="s">
        <v>408</v>
      </c>
      <c r="CN33" s="17"/>
      <c r="CO33" s="35">
        <v>0</v>
      </c>
      <c r="CP33" s="17"/>
      <c r="CQ33" s="17" t="s">
        <v>408</v>
      </c>
      <c r="CR33" s="9"/>
    </row>
    <row r="34" spans="1:96" ht="38.25">
      <c r="A34" s="3" t="s">
        <v>229</v>
      </c>
      <c r="B34" s="3" t="s">
        <v>230</v>
      </c>
      <c r="C34" s="4">
        <v>67</v>
      </c>
      <c r="D34" s="27">
        <v>32</v>
      </c>
      <c r="E34" s="4">
        <v>9700</v>
      </c>
      <c r="F34" s="5">
        <v>22068</v>
      </c>
      <c r="G34" s="6">
        <v>1874998</v>
      </c>
      <c r="H34" s="7" t="s">
        <v>121</v>
      </c>
      <c r="I34" s="44">
        <v>36489</v>
      </c>
      <c r="J34" s="6">
        <f t="shared" ref="J34:J65" si="29">(I34-F34)/365.25</f>
        <v>39.482546201232033</v>
      </c>
      <c r="K34" s="18">
        <v>1</v>
      </c>
      <c r="L34" s="7" t="s">
        <v>49</v>
      </c>
      <c r="M34" s="3" t="s">
        <v>122</v>
      </c>
      <c r="N34" s="4" t="s">
        <v>403</v>
      </c>
      <c r="O34" s="4">
        <v>0</v>
      </c>
      <c r="P34" s="4">
        <v>0</v>
      </c>
      <c r="Q34" s="4">
        <v>1</v>
      </c>
      <c r="R34" s="4">
        <v>0</v>
      </c>
      <c r="S34" s="4">
        <v>0</v>
      </c>
      <c r="T34" s="9" t="s">
        <v>39</v>
      </c>
      <c r="U34" s="37" t="s">
        <v>402</v>
      </c>
      <c r="V34" s="37">
        <v>1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10">
        <v>35095</v>
      </c>
      <c r="AC34" s="10">
        <v>35095</v>
      </c>
      <c r="AD34" s="11">
        <f t="shared" ref="AD34:AD65" si="30">(AC34-AB34)/365.25*12</f>
        <v>0</v>
      </c>
      <c r="AE34" s="11">
        <v>0</v>
      </c>
      <c r="AF34" s="11">
        <v>1</v>
      </c>
      <c r="AG34" s="10" t="s">
        <v>389</v>
      </c>
      <c r="AH34" s="35">
        <v>1</v>
      </c>
      <c r="AI34" s="12" t="s">
        <v>254</v>
      </c>
      <c r="AJ34" s="10">
        <v>35095</v>
      </c>
      <c r="AK34" s="11">
        <f t="shared" ref="AK34:AK65" si="31">(I34-AJ34)*12/365.25</f>
        <v>45.798767967145793</v>
      </c>
      <c r="AL34" s="11">
        <f t="shared" ref="AL34:AL65" si="32">(AJ34-AC34)/365.25*12</f>
        <v>0</v>
      </c>
      <c r="AM34" s="11">
        <f t="shared" ref="AM34:AM65" si="33">(I34-AB34)*12/365.25</f>
        <v>45.798767967145793</v>
      </c>
      <c r="AN34" s="2">
        <v>3</v>
      </c>
      <c r="AO34" s="2">
        <v>0</v>
      </c>
      <c r="AP34" s="13">
        <v>36513</v>
      </c>
      <c r="AQ34" s="13">
        <v>36517</v>
      </c>
      <c r="AR34" s="14">
        <f t="shared" ref="AR34:AR65" si="34">(AQ34-AP34)/7</f>
        <v>0.5714285714285714</v>
      </c>
      <c r="AS34" s="20">
        <v>10</v>
      </c>
      <c r="AT34" s="20">
        <v>5</v>
      </c>
      <c r="AU34" s="20">
        <f t="shared" si="22"/>
        <v>50</v>
      </c>
      <c r="AV34" s="20">
        <v>0</v>
      </c>
      <c r="AW34" s="27">
        <v>0</v>
      </c>
      <c r="AX34" s="20">
        <v>1</v>
      </c>
      <c r="AY34" s="20">
        <v>0</v>
      </c>
      <c r="AZ34" s="20">
        <v>0</v>
      </c>
      <c r="BA34" s="20">
        <v>0</v>
      </c>
      <c r="BB34" s="20">
        <v>0</v>
      </c>
      <c r="BC34" s="20">
        <v>1</v>
      </c>
      <c r="BD34" s="18">
        <v>0</v>
      </c>
      <c r="BE34" s="26"/>
      <c r="BF34" s="44">
        <v>38163</v>
      </c>
      <c r="BG34" s="196">
        <v>38199</v>
      </c>
      <c r="BH34" s="196" t="s">
        <v>537</v>
      </c>
      <c r="BI34" s="2"/>
      <c r="BJ34" s="35">
        <f t="shared" ref="BJ34:BJ65" si="35">(BG34-I34)/365.25*12</f>
        <v>56.180698151950715</v>
      </c>
      <c r="BK34" s="35">
        <f t="shared" ref="BK34:BK65" si="36">BJ34*365.25/12</f>
        <v>1710</v>
      </c>
      <c r="BL34" s="35">
        <v>0</v>
      </c>
      <c r="BM34" s="17"/>
      <c r="BN34" s="35"/>
      <c r="BO34" s="35">
        <f t="shared" si="24"/>
        <v>54.997946611909654</v>
      </c>
      <c r="BP34" s="35">
        <f t="shared" ref="BP34:BP65" si="37">BO34*365.25/12</f>
        <v>1674</v>
      </c>
      <c r="BQ34" s="35">
        <v>1</v>
      </c>
      <c r="BR34" s="17">
        <v>36712</v>
      </c>
      <c r="BS34" s="11">
        <f>(BR34-I34)*12/365.25</f>
        <v>7.3264887063655033</v>
      </c>
      <c r="BT34" s="35">
        <f t="shared" si="11"/>
        <v>223</v>
      </c>
      <c r="BU34" s="35">
        <f>BQ34+BL34</f>
        <v>1</v>
      </c>
      <c r="BV34" s="35">
        <v>0</v>
      </c>
      <c r="BW34" s="35">
        <v>0</v>
      </c>
      <c r="BX34" s="17">
        <f>BR34</f>
        <v>36712</v>
      </c>
      <c r="BY34" s="35">
        <f>(BX34-I34)*12/365.25</f>
        <v>7.3264887063655033</v>
      </c>
      <c r="BZ34" s="35">
        <f t="shared" si="13"/>
        <v>223</v>
      </c>
      <c r="CA34" s="35">
        <f t="shared" si="25"/>
        <v>1</v>
      </c>
      <c r="CB34" s="17">
        <f>BX34</f>
        <v>36712</v>
      </c>
      <c r="CC34" s="35">
        <f t="shared" si="27"/>
        <v>7.3264887063655033</v>
      </c>
      <c r="CD34" s="35">
        <f t="shared" si="28"/>
        <v>223</v>
      </c>
      <c r="CE34" s="8" t="s">
        <v>38</v>
      </c>
      <c r="CF34" s="9" t="s">
        <v>38</v>
      </c>
      <c r="CG34" s="35">
        <v>1</v>
      </c>
      <c r="CH34" s="43">
        <f>0.93+2.47+3.45</f>
        <v>6.8500000000000005</v>
      </c>
      <c r="CI34" s="9" t="s">
        <v>175</v>
      </c>
      <c r="CJ34" s="9" t="s">
        <v>374</v>
      </c>
      <c r="CK34" s="9" t="s">
        <v>364</v>
      </c>
      <c r="CL34" s="9"/>
      <c r="CM34" s="9" t="s">
        <v>408</v>
      </c>
      <c r="CN34" s="17"/>
      <c r="CO34" s="35">
        <v>0</v>
      </c>
      <c r="CP34" s="17"/>
      <c r="CQ34" s="17" t="s">
        <v>408</v>
      </c>
      <c r="CR34" s="9"/>
    </row>
    <row r="35" spans="1:96">
      <c r="A35" s="3" t="s">
        <v>71</v>
      </c>
      <c r="B35" s="3" t="s">
        <v>279</v>
      </c>
      <c r="C35" s="4">
        <v>70</v>
      </c>
      <c r="D35" s="27">
        <v>33</v>
      </c>
      <c r="E35" s="4">
        <v>9700</v>
      </c>
      <c r="F35" s="5">
        <v>9869</v>
      </c>
      <c r="G35" s="6">
        <v>2189454</v>
      </c>
      <c r="H35" s="7" t="s">
        <v>121</v>
      </c>
      <c r="I35" s="44">
        <v>36495</v>
      </c>
      <c r="J35" s="6">
        <f t="shared" si="29"/>
        <v>72.898015058179325</v>
      </c>
      <c r="K35" s="18">
        <v>1</v>
      </c>
      <c r="L35" s="7" t="s">
        <v>49</v>
      </c>
      <c r="M35" s="3" t="s">
        <v>122</v>
      </c>
      <c r="N35" s="4" t="s">
        <v>403</v>
      </c>
      <c r="O35" s="4">
        <v>0</v>
      </c>
      <c r="P35" s="4">
        <v>0</v>
      </c>
      <c r="Q35" s="4">
        <v>1</v>
      </c>
      <c r="R35" s="4">
        <v>0</v>
      </c>
      <c r="S35" s="4">
        <v>0</v>
      </c>
      <c r="T35" s="9" t="s">
        <v>39</v>
      </c>
      <c r="U35" s="37" t="s">
        <v>402</v>
      </c>
      <c r="V35" s="37">
        <v>1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10">
        <v>34273</v>
      </c>
      <c r="AC35" s="10">
        <v>34789</v>
      </c>
      <c r="AD35" s="11">
        <f t="shared" si="30"/>
        <v>16.95277207392197</v>
      </c>
      <c r="AE35" s="11">
        <v>1</v>
      </c>
      <c r="AF35" s="11">
        <v>0</v>
      </c>
      <c r="AG35" s="10" t="s">
        <v>387</v>
      </c>
      <c r="AH35" s="35">
        <v>1</v>
      </c>
      <c r="AI35" s="12" t="s">
        <v>315</v>
      </c>
      <c r="AJ35" s="10">
        <v>36464</v>
      </c>
      <c r="AK35" s="11">
        <f t="shared" si="31"/>
        <v>1.0184804928131417</v>
      </c>
      <c r="AL35" s="11">
        <f t="shared" si="32"/>
        <v>55.030800821355236</v>
      </c>
      <c r="AM35" s="11">
        <f t="shared" si="33"/>
        <v>73.002053388090346</v>
      </c>
      <c r="AN35" s="2">
        <v>2</v>
      </c>
      <c r="AO35" s="2">
        <v>0</v>
      </c>
      <c r="AP35" s="13">
        <v>36508</v>
      </c>
      <c r="AQ35" s="13">
        <v>36517</v>
      </c>
      <c r="AR35" s="14">
        <f t="shared" si="34"/>
        <v>1.2857142857142858</v>
      </c>
      <c r="AS35" s="20">
        <v>10</v>
      </c>
      <c r="AT35" s="20">
        <v>3.5</v>
      </c>
      <c r="AU35" s="20">
        <f t="shared" si="22"/>
        <v>35</v>
      </c>
      <c r="AV35" s="20">
        <v>0</v>
      </c>
      <c r="AW35" s="20">
        <v>0</v>
      </c>
      <c r="AX35" s="20">
        <v>1</v>
      </c>
      <c r="AY35" s="20">
        <v>0</v>
      </c>
      <c r="AZ35" s="20">
        <v>0</v>
      </c>
      <c r="BA35" s="20">
        <v>0</v>
      </c>
      <c r="BB35" s="20">
        <v>1</v>
      </c>
      <c r="BC35" s="20">
        <v>2</v>
      </c>
      <c r="BD35" s="18">
        <v>0</v>
      </c>
      <c r="BE35" s="26"/>
      <c r="BF35" s="44">
        <v>37709</v>
      </c>
      <c r="BG35" s="196">
        <v>38199</v>
      </c>
      <c r="BH35" s="196" t="s">
        <v>537</v>
      </c>
      <c r="BI35" s="2"/>
      <c r="BJ35" s="35">
        <f t="shared" si="35"/>
        <v>55.983572895277206</v>
      </c>
      <c r="BK35" s="35">
        <f t="shared" si="36"/>
        <v>1704</v>
      </c>
      <c r="BL35" s="35">
        <v>0</v>
      </c>
      <c r="BM35" s="17"/>
      <c r="BN35" s="35"/>
      <c r="BO35" s="35">
        <f t="shared" si="24"/>
        <v>39.885010266940448</v>
      </c>
      <c r="BP35" s="35">
        <f t="shared" si="37"/>
        <v>1213.9999999999998</v>
      </c>
      <c r="BQ35" s="35">
        <v>1</v>
      </c>
      <c r="BR35" s="17">
        <v>36891</v>
      </c>
      <c r="BS35" s="11">
        <f>(BR35-I35)*12/365.25</f>
        <v>13.010266940451745</v>
      </c>
      <c r="BT35" s="35">
        <f t="shared" si="11"/>
        <v>396</v>
      </c>
      <c r="BU35" s="35">
        <f>BQ35+BL35</f>
        <v>1</v>
      </c>
      <c r="BV35" s="35">
        <v>0</v>
      </c>
      <c r="BW35" s="35">
        <v>0</v>
      </c>
      <c r="BX35" s="17">
        <f>BR35</f>
        <v>36891</v>
      </c>
      <c r="BY35" s="35">
        <f>(BX35-I35)*12/365.25</f>
        <v>13.010266940451745</v>
      </c>
      <c r="BZ35" s="35">
        <f t="shared" si="13"/>
        <v>396</v>
      </c>
      <c r="CA35" s="35">
        <f t="shared" si="25"/>
        <v>1</v>
      </c>
      <c r="CB35" s="17">
        <f>BX35</f>
        <v>36891</v>
      </c>
      <c r="CC35" s="35">
        <f t="shared" si="27"/>
        <v>13.010266940451745</v>
      </c>
      <c r="CD35" s="35">
        <f t="shared" si="28"/>
        <v>396</v>
      </c>
      <c r="CE35" s="8" t="s">
        <v>38</v>
      </c>
      <c r="CF35" s="9" t="s">
        <v>38</v>
      </c>
      <c r="CG35" s="35">
        <v>5</v>
      </c>
      <c r="CH35" s="43">
        <f>2.74+188.74+211.01</f>
        <v>402.49</v>
      </c>
      <c r="CI35" s="9" t="s">
        <v>40</v>
      </c>
      <c r="CJ35" s="9" t="s">
        <v>38</v>
      </c>
      <c r="CK35" s="9" t="s">
        <v>38</v>
      </c>
      <c r="CL35" s="9"/>
      <c r="CM35" s="9" t="s">
        <v>408</v>
      </c>
      <c r="CN35" s="17"/>
      <c r="CO35" s="35">
        <v>0</v>
      </c>
      <c r="CP35" s="17"/>
      <c r="CQ35" s="17" t="s">
        <v>408</v>
      </c>
      <c r="CR35" s="9"/>
    </row>
    <row r="36" spans="1:96" s="113" customFormat="1">
      <c r="A36" s="3" t="s">
        <v>245</v>
      </c>
      <c r="B36" s="3" t="s">
        <v>197</v>
      </c>
      <c r="C36" s="4">
        <v>76</v>
      </c>
      <c r="D36" s="27">
        <v>34</v>
      </c>
      <c r="E36" s="4">
        <v>9700</v>
      </c>
      <c r="F36" s="5">
        <v>7911</v>
      </c>
      <c r="G36" s="6">
        <v>2425046</v>
      </c>
      <c r="H36" s="7" t="s">
        <v>50</v>
      </c>
      <c r="I36" s="44">
        <v>36558</v>
      </c>
      <c r="J36" s="6">
        <f t="shared" si="29"/>
        <v>78.431211498973312</v>
      </c>
      <c r="K36" s="18">
        <v>1</v>
      </c>
      <c r="L36" s="7" t="s">
        <v>51</v>
      </c>
      <c r="M36" s="3" t="s">
        <v>327</v>
      </c>
      <c r="N36" s="4" t="s">
        <v>510</v>
      </c>
      <c r="O36" s="4">
        <v>0</v>
      </c>
      <c r="P36" s="4">
        <v>1</v>
      </c>
      <c r="Q36" s="4">
        <v>0</v>
      </c>
      <c r="R36" s="4">
        <v>0</v>
      </c>
      <c r="S36" s="4">
        <v>0</v>
      </c>
      <c r="T36" s="9" t="s">
        <v>155</v>
      </c>
      <c r="U36" s="37" t="s">
        <v>402</v>
      </c>
      <c r="V36" s="37">
        <v>1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10">
        <v>34950</v>
      </c>
      <c r="AC36" s="10">
        <v>35749</v>
      </c>
      <c r="AD36" s="11">
        <f t="shared" si="30"/>
        <v>26.250513347022586</v>
      </c>
      <c r="AE36" s="11">
        <v>1</v>
      </c>
      <c r="AF36" s="11">
        <v>0</v>
      </c>
      <c r="AG36" s="10" t="s">
        <v>387</v>
      </c>
      <c r="AH36" s="35">
        <v>1</v>
      </c>
      <c r="AI36" s="12" t="s">
        <v>315</v>
      </c>
      <c r="AJ36" s="10">
        <v>36494</v>
      </c>
      <c r="AK36" s="11">
        <f t="shared" si="31"/>
        <v>2.1026694045174539</v>
      </c>
      <c r="AL36" s="11">
        <f t="shared" si="32"/>
        <v>24.476386036960985</v>
      </c>
      <c r="AM36" s="11">
        <f t="shared" si="33"/>
        <v>52.829568788501028</v>
      </c>
      <c r="AN36" s="2">
        <v>1</v>
      </c>
      <c r="AO36" s="2">
        <v>1</v>
      </c>
      <c r="AP36" s="13">
        <v>36559</v>
      </c>
      <c r="AQ36" s="13">
        <v>36574</v>
      </c>
      <c r="AR36" s="14">
        <f t="shared" si="34"/>
        <v>2.1428571428571428</v>
      </c>
      <c r="AS36" s="20">
        <v>10</v>
      </c>
      <c r="AT36" s="20">
        <v>5</v>
      </c>
      <c r="AU36" s="20">
        <f t="shared" si="22"/>
        <v>50</v>
      </c>
      <c r="AV36" s="20">
        <v>0</v>
      </c>
      <c r="AW36" s="20">
        <v>0</v>
      </c>
      <c r="AX36" s="20">
        <v>1</v>
      </c>
      <c r="AY36" s="20">
        <v>0</v>
      </c>
      <c r="AZ36" s="20">
        <v>0</v>
      </c>
      <c r="BA36" s="20">
        <v>0</v>
      </c>
      <c r="BB36" s="20">
        <v>0</v>
      </c>
      <c r="BC36" s="20">
        <v>1</v>
      </c>
      <c r="BD36" s="18">
        <v>0</v>
      </c>
      <c r="BE36" s="26"/>
      <c r="BF36" s="44">
        <v>37699</v>
      </c>
      <c r="BG36" s="17">
        <v>38077</v>
      </c>
      <c r="BH36" s="17"/>
      <c r="BI36" s="2"/>
      <c r="BJ36" s="35">
        <f t="shared" si="35"/>
        <v>49.905544147843941</v>
      </c>
      <c r="BK36" s="35">
        <f t="shared" si="36"/>
        <v>1519</v>
      </c>
      <c r="BL36" s="35">
        <v>0</v>
      </c>
      <c r="BM36" s="17"/>
      <c r="BN36" s="35"/>
      <c r="BO36" s="35">
        <f t="shared" si="24"/>
        <v>37.486652977412732</v>
      </c>
      <c r="BP36" s="35">
        <f t="shared" si="37"/>
        <v>1141</v>
      </c>
      <c r="BQ36" s="35">
        <v>1</v>
      </c>
      <c r="BR36" s="17">
        <v>37062</v>
      </c>
      <c r="BS36" s="11">
        <f>(BR36-I36)*12/365.25</f>
        <v>16.558521560574949</v>
      </c>
      <c r="BT36" s="35">
        <f t="shared" si="11"/>
        <v>504</v>
      </c>
      <c r="BU36" s="35">
        <v>1</v>
      </c>
      <c r="BV36" s="35">
        <v>0</v>
      </c>
      <c r="BW36" s="35">
        <v>0</v>
      </c>
      <c r="BX36" s="17">
        <v>37062</v>
      </c>
      <c r="BY36" s="35">
        <f>(BX36-I36)*12/365.25</f>
        <v>16.558521560574949</v>
      </c>
      <c r="BZ36" s="35">
        <f t="shared" si="13"/>
        <v>504</v>
      </c>
      <c r="CA36" s="35">
        <f t="shared" si="25"/>
        <v>1</v>
      </c>
      <c r="CB36" s="17">
        <f>BX36</f>
        <v>37062</v>
      </c>
      <c r="CC36" s="35">
        <f t="shared" si="27"/>
        <v>16.558521560574949</v>
      </c>
      <c r="CD36" s="35">
        <f t="shared" si="28"/>
        <v>504</v>
      </c>
      <c r="CE36" s="8" t="s">
        <v>38</v>
      </c>
      <c r="CF36" s="9" t="s">
        <v>38</v>
      </c>
      <c r="CG36" s="35">
        <v>1</v>
      </c>
      <c r="CH36" s="43">
        <v>0.3</v>
      </c>
      <c r="CI36" s="9" t="s">
        <v>38</v>
      </c>
      <c r="CJ36" s="9" t="s">
        <v>38</v>
      </c>
      <c r="CK36" s="9" t="s">
        <v>383</v>
      </c>
      <c r="CL36" s="9"/>
      <c r="CM36" s="9" t="s">
        <v>408</v>
      </c>
      <c r="CN36" s="17"/>
      <c r="CO36" s="35">
        <v>0</v>
      </c>
      <c r="CP36" s="17"/>
      <c r="CQ36" s="17" t="s">
        <v>408</v>
      </c>
      <c r="CR36" s="9"/>
    </row>
    <row r="37" spans="1:96">
      <c r="A37" s="3" t="s">
        <v>147</v>
      </c>
      <c r="B37" s="3" t="s">
        <v>182</v>
      </c>
      <c r="C37" s="4">
        <v>79</v>
      </c>
      <c r="D37" s="27">
        <v>35</v>
      </c>
      <c r="E37" s="4">
        <v>9700</v>
      </c>
      <c r="F37" s="5">
        <v>11079</v>
      </c>
      <c r="G37" s="6">
        <v>2199431</v>
      </c>
      <c r="H37" s="7" t="s">
        <v>121</v>
      </c>
      <c r="I37" s="44">
        <v>36559</v>
      </c>
      <c r="J37" s="6">
        <f t="shared" si="29"/>
        <v>69.760438056125935</v>
      </c>
      <c r="K37" s="18">
        <v>1</v>
      </c>
      <c r="L37" s="7" t="s">
        <v>49</v>
      </c>
      <c r="M37" s="3" t="s">
        <v>122</v>
      </c>
      <c r="N37" s="4" t="s">
        <v>403</v>
      </c>
      <c r="O37" s="4">
        <v>0</v>
      </c>
      <c r="P37" s="4">
        <v>0</v>
      </c>
      <c r="Q37" s="4">
        <v>1</v>
      </c>
      <c r="R37" s="4">
        <v>0</v>
      </c>
      <c r="S37" s="4">
        <v>0</v>
      </c>
      <c r="T37" s="9" t="s">
        <v>155</v>
      </c>
      <c r="U37" s="37" t="s">
        <v>402</v>
      </c>
      <c r="V37" s="37">
        <v>1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10">
        <v>34864</v>
      </c>
      <c r="AC37" s="10">
        <v>36508</v>
      </c>
      <c r="AD37" s="11">
        <f t="shared" si="30"/>
        <v>54.012320328542096</v>
      </c>
      <c r="AE37" s="11">
        <v>1</v>
      </c>
      <c r="AF37" s="11">
        <v>0</v>
      </c>
      <c r="AG37" s="10" t="s">
        <v>387</v>
      </c>
      <c r="AH37" s="35">
        <v>1</v>
      </c>
      <c r="AI37" s="12" t="s">
        <v>270</v>
      </c>
      <c r="AJ37" s="10">
        <v>36508</v>
      </c>
      <c r="AK37" s="11">
        <f t="shared" si="31"/>
        <v>1.675564681724846</v>
      </c>
      <c r="AL37" s="11">
        <f t="shared" si="32"/>
        <v>0</v>
      </c>
      <c r="AM37" s="11">
        <f t="shared" si="33"/>
        <v>55.687885010266939</v>
      </c>
      <c r="AN37" s="2">
        <v>1</v>
      </c>
      <c r="AO37" s="2">
        <v>1</v>
      </c>
      <c r="AP37" s="13">
        <v>36571</v>
      </c>
      <c r="AQ37" s="13">
        <v>36582</v>
      </c>
      <c r="AR37" s="14">
        <f t="shared" si="34"/>
        <v>1.5714285714285714</v>
      </c>
      <c r="AS37" s="20">
        <v>10</v>
      </c>
      <c r="AT37" s="20">
        <v>5</v>
      </c>
      <c r="AU37" s="20">
        <f t="shared" si="22"/>
        <v>50</v>
      </c>
      <c r="AV37" s="20">
        <v>0</v>
      </c>
      <c r="AW37" s="20">
        <v>0</v>
      </c>
      <c r="AX37" s="20">
        <v>1</v>
      </c>
      <c r="AY37" s="20">
        <v>0</v>
      </c>
      <c r="AZ37" s="20">
        <v>0</v>
      </c>
      <c r="BA37" s="20">
        <v>0</v>
      </c>
      <c r="BB37" s="20">
        <v>0</v>
      </c>
      <c r="BC37" s="20">
        <v>1</v>
      </c>
      <c r="BD37" s="18">
        <v>0</v>
      </c>
      <c r="BE37" s="26"/>
      <c r="BF37" s="49">
        <v>38111</v>
      </c>
      <c r="BG37" s="196">
        <v>38199</v>
      </c>
      <c r="BH37" s="196" t="s">
        <v>537</v>
      </c>
      <c r="BI37" s="2"/>
      <c r="BJ37" s="35">
        <f t="shared" si="35"/>
        <v>53.880903490759756</v>
      </c>
      <c r="BK37" s="35">
        <f t="shared" si="36"/>
        <v>1640</v>
      </c>
      <c r="BL37" s="35">
        <v>0</v>
      </c>
      <c r="BM37" s="17"/>
      <c r="BN37" s="35"/>
      <c r="BO37" s="35">
        <f t="shared" si="24"/>
        <v>50.98973305954825</v>
      </c>
      <c r="BP37" s="35">
        <f t="shared" si="37"/>
        <v>1552</v>
      </c>
      <c r="BQ37" s="35">
        <v>0</v>
      </c>
      <c r="BR37" s="17"/>
      <c r="BS37" s="11">
        <f t="shared" ref="BS37:BS42" si="38">(BF37-I37)/365.25*12</f>
        <v>50.98973305954825</v>
      </c>
      <c r="BT37" s="35">
        <f t="shared" si="11"/>
        <v>1552</v>
      </c>
      <c r="BU37" s="35">
        <f>BQ37+BL37</f>
        <v>0</v>
      </c>
      <c r="BV37" s="35">
        <v>1</v>
      </c>
      <c r="BW37" s="35">
        <v>1</v>
      </c>
      <c r="BX37" s="17"/>
      <c r="BY37" s="35">
        <f t="shared" ref="BY37:BY42" si="39">(BF37-I37)/365.25*12</f>
        <v>50.98973305954825</v>
      </c>
      <c r="BZ37" s="35">
        <f t="shared" si="13"/>
        <v>1552</v>
      </c>
      <c r="CA37" s="35">
        <f t="shared" si="25"/>
        <v>0</v>
      </c>
      <c r="CB37" s="17"/>
      <c r="CC37" s="35">
        <f t="shared" si="27"/>
        <v>50.98973305954825</v>
      </c>
      <c r="CD37" s="35">
        <f t="shared" si="28"/>
        <v>1552</v>
      </c>
      <c r="CE37" s="8" t="s">
        <v>38</v>
      </c>
      <c r="CF37" s="9" t="s">
        <v>38</v>
      </c>
      <c r="CG37" s="35">
        <v>5</v>
      </c>
      <c r="CH37" s="43">
        <v>120</v>
      </c>
      <c r="CI37" s="9" t="s">
        <v>38</v>
      </c>
      <c r="CJ37" s="9" t="s">
        <v>38</v>
      </c>
      <c r="CK37" s="9" t="s">
        <v>363</v>
      </c>
      <c r="CL37" s="9"/>
      <c r="CM37" s="9" t="s">
        <v>408</v>
      </c>
      <c r="CN37" s="17">
        <v>37110</v>
      </c>
      <c r="CO37" s="35">
        <v>1</v>
      </c>
      <c r="CP37" s="35">
        <f>(CN37-AP37)*12/365.25</f>
        <v>17.708418891170432</v>
      </c>
      <c r="CQ37" s="35" t="s">
        <v>389</v>
      </c>
      <c r="CR37" s="9"/>
    </row>
    <row r="38" spans="1:96">
      <c r="A38" s="3" t="s">
        <v>233</v>
      </c>
      <c r="B38" s="3" t="s">
        <v>307</v>
      </c>
      <c r="C38" s="4">
        <v>86</v>
      </c>
      <c r="D38" s="27">
        <v>36</v>
      </c>
      <c r="E38" s="4">
        <v>9700</v>
      </c>
      <c r="F38" s="5">
        <v>14868</v>
      </c>
      <c r="G38" s="6">
        <v>1093368</v>
      </c>
      <c r="H38" s="7" t="s">
        <v>121</v>
      </c>
      <c r="I38" s="44">
        <v>36599</v>
      </c>
      <c r="J38" s="6">
        <f t="shared" si="29"/>
        <v>59.496235455167692</v>
      </c>
      <c r="K38" s="18">
        <v>1</v>
      </c>
      <c r="L38" s="7" t="s">
        <v>49</v>
      </c>
      <c r="M38" s="3" t="s">
        <v>127</v>
      </c>
      <c r="N38" s="4" t="s">
        <v>107</v>
      </c>
      <c r="O38" s="4">
        <v>1</v>
      </c>
      <c r="P38" s="4">
        <v>0</v>
      </c>
      <c r="Q38" s="4">
        <v>0</v>
      </c>
      <c r="R38" s="4">
        <v>0</v>
      </c>
      <c r="S38" s="4">
        <v>0</v>
      </c>
      <c r="T38" s="9" t="s">
        <v>155</v>
      </c>
      <c r="U38" s="37" t="s">
        <v>402</v>
      </c>
      <c r="V38" s="37">
        <v>1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10">
        <v>35453</v>
      </c>
      <c r="AC38" s="10">
        <v>36494</v>
      </c>
      <c r="AD38" s="11">
        <f t="shared" si="30"/>
        <v>34.201232032854207</v>
      </c>
      <c r="AE38" s="11">
        <v>0</v>
      </c>
      <c r="AF38" s="11">
        <v>0</v>
      </c>
      <c r="AG38" s="10" t="s">
        <v>387</v>
      </c>
      <c r="AH38" s="35">
        <v>1</v>
      </c>
      <c r="AI38" s="12" t="s">
        <v>315</v>
      </c>
      <c r="AJ38" s="10">
        <v>36494</v>
      </c>
      <c r="AK38" s="11">
        <f t="shared" si="31"/>
        <v>3.4496919917864477</v>
      </c>
      <c r="AL38" s="11">
        <f t="shared" si="32"/>
        <v>0</v>
      </c>
      <c r="AM38" s="11">
        <f t="shared" si="33"/>
        <v>37.650924024640659</v>
      </c>
      <c r="AN38" s="2">
        <v>3</v>
      </c>
      <c r="AO38" s="2">
        <v>0</v>
      </c>
      <c r="AP38" s="13">
        <v>36608</v>
      </c>
      <c r="AQ38" s="13">
        <v>36621</v>
      </c>
      <c r="AR38" s="14">
        <f t="shared" si="34"/>
        <v>1.8571428571428572</v>
      </c>
      <c r="AS38" s="20">
        <v>10</v>
      </c>
      <c r="AT38" s="20">
        <v>5</v>
      </c>
      <c r="AU38" s="20">
        <f t="shared" si="22"/>
        <v>50</v>
      </c>
      <c r="AV38" s="20">
        <v>0</v>
      </c>
      <c r="AW38" s="20">
        <v>0</v>
      </c>
      <c r="AX38" s="20">
        <v>1</v>
      </c>
      <c r="AY38" s="20">
        <v>0</v>
      </c>
      <c r="AZ38" s="20">
        <v>0</v>
      </c>
      <c r="BA38" s="20">
        <v>0</v>
      </c>
      <c r="BB38" s="20">
        <v>0</v>
      </c>
      <c r="BC38" s="20">
        <v>1</v>
      </c>
      <c r="BD38" s="18">
        <v>0</v>
      </c>
      <c r="BE38" s="26"/>
      <c r="BF38" s="49">
        <v>37918</v>
      </c>
      <c r="BG38" s="17">
        <v>38077</v>
      </c>
      <c r="BH38" s="17"/>
      <c r="BI38" s="2"/>
      <c r="BJ38" s="35">
        <f t="shared" si="35"/>
        <v>48.558521560574953</v>
      </c>
      <c r="BK38" s="35">
        <f t="shared" si="36"/>
        <v>1478</v>
      </c>
      <c r="BL38" s="35">
        <v>0</v>
      </c>
      <c r="BM38" s="17"/>
      <c r="BN38" s="35"/>
      <c r="BO38" s="35">
        <f t="shared" si="24"/>
        <v>43.3347022587269</v>
      </c>
      <c r="BP38" s="35">
        <f t="shared" si="37"/>
        <v>1319</v>
      </c>
      <c r="BQ38" s="35">
        <v>0</v>
      </c>
      <c r="BR38" s="17"/>
      <c r="BS38" s="11">
        <f t="shared" si="38"/>
        <v>43.3347022587269</v>
      </c>
      <c r="BT38" s="35">
        <f t="shared" si="11"/>
        <v>1319</v>
      </c>
      <c r="BU38" s="35">
        <f>BQ38+BL38</f>
        <v>0</v>
      </c>
      <c r="BV38" s="35">
        <v>1</v>
      </c>
      <c r="BW38" s="35">
        <v>1</v>
      </c>
      <c r="BX38" s="17"/>
      <c r="BY38" s="35">
        <f t="shared" si="39"/>
        <v>43.3347022587269</v>
      </c>
      <c r="BZ38" s="35">
        <f t="shared" si="13"/>
        <v>1319</v>
      </c>
      <c r="CA38" s="35">
        <f t="shared" si="25"/>
        <v>0</v>
      </c>
      <c r="CB38" s="17"/>
      <c r="CC38" s="35">
        <f t="shared" si="27"/>
        <v>43.3347022587269</v>
      </c>
      <c r="CD38" s="35">
        <f t="shared" si="28"/>
        <v>1319</v>
      </c>
      <c r="CE38" s="8" t="s">
        <v>38</v>
      </c>
      <c r="CF38" s="9" t="s">
        <v>38</v>
      </c>
      <c r="CG38" s="35">
        <v>2</v>
      </c>
      <c r="CH38" s="43">
        <f>9.84+3.4+0.01</f>
        <v>13.25</v>
      </c>
      <c r="CI38" s="9" t="s">
        <v>315</v>
      </c>
      <c r="CJ38" s="9" t="s">
        <v>38</v>
      </c>
      <c r="CK38" s="9" t="s">
        <v>363</v>
      </c>
      <c r="CL38" s="9"/>
      <c r="CM38" s="9" t="s">
        <v>408</v>
      </c>
      <c r="CN38" s="17">
        <v>37555</v>
      </c>
      <c r="CO38" s="35">
        <v>1</v>
      </c>
      <c r="CP38" s="35">
        <f>(CN38-AP38)*12/365.25</f>
        <v>31.112936344969199</v>
      </c>
      <c r="CQ38" s="35" t="s">
        <v>389</v>
      </c>
      <c r="CR38" s="9"/>
    </row>
    <row r="39" spans="1:96">
      <c r="A39" s="3" t="s">
        <v>13</v>
      </c>
      <c r="B39" s="3" t="s">
        <v>14</v>
      </c>
      <c r="C39" s="4">
        <v>101</v>
      </c>
      <c r="D39" s="27">
        <v>37</v>
      </c>
      <c r="E39" s="4">
        <v>9700</v>
      </c>
      <c r="F39" s="5">
        <v>18773</v>
      </c>
      <c r="G39" s="6">
        <v>2235945</v>
      </c>
      <c r="H39" s="7" t="s">
        <v>121</v>
      </c>
      <c r="I39" s="44">
        <v>36732</v>
      </c>
      <c r="J39" s="6">
        <f t="shared" si="29"/>
        <v>49.169062286105408</v>
      </c>
      <c r="K39" s="18">
        <v>0</v>
      </c>
      <c r="L39" s="7" t="s">
        <v>49</v>
      </c>
      <c r="M39" s="3" t="s">
        <v>315</v>
      </c>
      <c r="N39" s="4" t="s">
        <v>509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9" t="s">
        <v>12</v>
      </c>
      <c r="U39" s="37" t="s">
        <v>508</v>
      </c>
      <c r="V39" s="37">
        <v>0</v>
      </c>
      <c r="W39" s="37">
        <v>0</v>
      </c>
      <c r="X39" s="37">
        <v>0</v>
      </c>
      <c r="Y39" s="37">
        <v>1</v>
      </c>
      <c r="Z39" s="37">
        <v>0</v>
      </c>
      <c r="AA39" s="37">
        <v>0</v>
      </c>
      <c r="AB39" s="10">
        <v>36673</v>
      </c>
      <c r="AC39" s="10">
        <v>36673</v>
      </c>
      <c r="AD39" s="11">
        <f t="shared" si="30"/>
        <v>0</v>
      </c>
      <c r="AE39" s="11">
        <v>0</v>
      </c>
      <c r="AF39" s="11">
        <v>0</v>
      </c>
      <c r="AG39" s="10" t="s">
        <v>389</v>
      </c>
      <c r="AH39" s="35">
        <v>1</v>
      </c>
      <c r="AI39" s="12" t="s">
        <v>315</v>
      </c>
      <c r="AJ39" s="10">
        <v>36673</v>
      </c>
      <c r="AK39" s="11">
        <f t="shared" si="31"/>
        <v>1.9383983572895278</v>
      </c>
      <c r="AL39" s="11">
        <f t="shared" si="32"/>
        <v>0</v>
      </c>
      <c r="AM39" s="11">
        <f t="shared" si="33"/>
        <v>1.9383983572895278</v>
      </c>
      <c r="AN39" s="2">
        <v>3</v>
      </c>
      <c r="AO39" s="2">
        <v>0</v>
      </c>
      <c r="AP39" s="13">
        <v>36741</v>
      </c>
      <c r="AQ39" s="13">
        <v>36754</v>
      </c>
      <c r="AR39" s="14">
        <f t="shared" si="34"/>
        <v>1.8571428571428572</v>
      </c>
      <c r="AS39" s="20">
        <v>10</v>
      </c>
      <c r="AT39" s="20">
        <v>4.5</v>
      </c>
      <c r="AU39" s="20">
        <f t="shared" si="22"/>
        <v>45</v>
      </c>
      <c r="AV39" s="20">
        <v>0</v>
      </c>
      <c r="AW39" s="20">
        <v>0</v>
      </c>
      <c r="AX39" s="20">
        <v>1</v>
      </c>
      <c r="AY39" s="20">
        <v>0</v>
      </c>
      <c r="AZ39" s="20">
        <v>0</v>
      </c>
      <c r="BA39" s="20">
        <v>0</v>
      </c>
      <c r="BB39" s="20">
        <v>0</v>
      </c>
      <c r="BC39" s="20">
        <v>1</v>
      </c>
      <c r="BD39" s="18">
        <v>0</v>
      </c>
      <c r="BE39" s="26"/>
      <c r="BF39" s="49">
        <v>37709</v>
      </c>
      <c r="BG39" s="17">
        <v>38077</v>
      </c>
      <c r="BH39" s="17"/>
      <c r="BI39" s="2"/>
      <c r="BJ39" s="35">
        <f t="shared" si="35"/>
        <v>44.188911704312112</v>
      </c>
      <c r="BK39" s="35">
        <f t="shared" si="36"/>
        <v>1344.9999999999998</v>
      </c>
      <c r="BL39" s="35">
        <v>0</v>
      </c>
      <c r="BM39" s="17"/>
      <c r="BN39" s="35"/>
      <c r="BO39" s="35">
        <f t="shared" si="24"/>
        <v>32.098562628336758</v>
      </c>
      <c r="BP39" s="35">
        <f t="shared" si="37"/>
        <v>977</v>
      </c>
      <c r="BQ39" s="35">
        <v>0</v>
      </c>
      <c r="BR39" s="17"/>
      <c r="BS39" s="11">
        <f t="shared" si="38"/>
        <v>32.098562628336758</v>
      </c>
      <c r="BT39" s="35">
        <f t="shared" si="11"/>
        <v>977</v>
      </c>
      <c r="BU39" s="35">
        <f>BQ39+BL39</f>
        <v>0</v>
      </c>
      <c r="BV39" s="35">
        <v>1</v>
      </c>
      <c r="BW39" s="35">
        <v>1</v>
      </c>
      <c r="BX39" s="17"/>
      <c r="BY39" s="35">
        <f t="shared" si="39"/>
        <v>32.098562628336758</v>
      </c>
      <c r="BZ39" s="35">
        <f t="shared" si="13"/>
        <v>977</v>
      </c>
      <c r="CA39" s="35">
        <f t="shared" si="25"/>
        <v>0</v>
      </c>
      <c r="CB39" s="17"/>
      <c r="CC39" s="35">
        <f t="shared" si="27"/>
        <v>32.098562628336758</v>
      </c>
      <c r="CD39" s="35">
        <f t="shared" si="28"/>
        <v>977</v>
      </c>
      <c r="CE39" s="8" t="s">
        <v>38</v>
      </c>
      <c r="CF39" s="9" t="s">
        <v>38</v>
      </c>
      <c r="CG39" s="35">
        <v>5</v>
      </c>
      <c r="CH39" s="43">
        <f>154.62+9.79+5.45</f>
        <v>169.85999999999999</v>
      </c>
      <c r="CI39" s="9" t="s">
        <v>38</v>
      </c>
      <c r="CJ39" s="9" t="s">
        <v>38</v>
      </c>
      <c r="CK39" s="9" t="s">
        <v>38</v>
      </c>
      <c r="CL39" s="9"/>
      <c r="CM39" s="9" t="s">
        <v>408</v>
      </c>
      <c r="CN39" s="17"/>
      <c r="CO39" s="35">
        <v>0</v>
      </c>
      <c r="CP39" s="17"/>
      <c r="CQ39" s="17" t="s">
        <v>408</v>
      </c>
      <c r="CR39" s="9"/>
    </row>
    <row r="40" spans="1:96" ht="25.5">
      <c r="A40" s="3" t="s">
        <v>236</v>
      </c>
      <c r="B40" s="3" t="s">
        <v>286</v>
      </c>
      <c r="C40" s="4">
        <v>103</v>
      </c>
      <c r="D40" s="27">
        <v>38</v>
      </c>
      <c r="E40" s="4">
        <v>9700</v>
      </c>
      <c r="F40" s="5">
        <v>17637</v>
      </c>
      <c r="G40" s="6">
        <v>2175942</v>
      </c>
      <c r="H40" s="7" t="s">
        <v>121</v>
      </c>
      <c r="I40" s="44">
        <v>36740</v>
      </c>
      <c r="J40" s="6">
        <f t="shared" si="29"/>
        <v>52.301163586584529</v>
      </c>
      <c r="K40" s="18">
        <v>0</v>
      </c>
      <c r="L40" s="7" t="s">
        <v>49</v>
      </c>
      <c r="M40" s="3" t="s">
        <v>287</v>
      </c>
      <c r="N40" s="4" t="s">
        <v>509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9" t="s">
        <v>342</v>
      </c>
      <c r="U40" s="37" t="s">
        <v>506</v>
      </c>
      <c r="V40" s="37">
        <v>0</v>
      </c>
      <c r="W40" s="37">
        <v>0</v>
      </c>
      <c r="X40" s="37">
        <v>1</v>
      </c>
      <c r="Y40" s="37">
        <v>0</v>
      </c>
      <c r="Z40" s="37">
        <v>0</v>
      </c>
      <c r="AA40" s="37">
        <v>0</v>
      </c>
      <c r="AB40" s="10">
        <v>36433</v>
      </c>
      <c r="AC40" s="10">
        <v>36536</v>
      </c>
      <c r="AD40" s="11">
        <f t="shared" si="30"/>
        <v>3.3839835728952772</v>
      </c>
      <c r="AE40" s="11">
        <v>0</v>
      </c>
      <c r="AF40" s="11">
        <v>0</v>
      </c>
      <c r="AG40" s="10" t="s">
        <v>390</v>
      </c>
      <c r="AH40" s="35">
        <v>1</v>
      </c>
      <c r="AI40" s="12" t="s">
        <v>315</v>
      </c>
      <c r="AJ40" s="10">
        <v>36536</v>
      </c>
      <c r="AK40" s="11">
        <f t="shared" si="31"/>
        <v>6.7022587268993838</v>
      </c>
      <c r="AL40" s="11">
        <f t="shared" si="32"/>
        <v>0</v>
      </c>
      <c r="AM40" s="11">
        <f t="shared" si="33"/>
        <v>10.086242299794661</v>
      </c>
      <c r="AN40" s="2">
        <v>1</v>
      </c>
      <c r="AO40" s="2">
        <v>1</v>
      </c>
      <c r="AP40" s="13">
        <v>36783</v>
      </c>
      <c r="AQ40" s="13">
        <v>36796</v>
      </c>
      <c r="AR40" s="14">
        <f t="shared" si="34"/>
        <v>1.8571428571428572</v>
      </c>
      <c r="AS40" s="20">
        <v>10</v>
      </c>
      <c r="AT40" s="20">
        <v>5</v>
      </c>
      <c r="AU40" s="20">
        <f t="shared" si="22"/>
        <v>50</v>
      </c>
      <c r="AV40" s="20">
        <v>0</v>
      </c>
      <c r="AW40" s="20">
        <v>0</v>
      </c>
      <c r="AX40" s="20">
        <v>1</v>
      </c>
      <c r="AY40" s="20">
        <v>0</v>
      </c>
      <c r="AZ40" s="20">
        <v>0</v>
      </c>
      <c r="BA40" s="20">
        <v>0</v>
      </c>
      <c r="BB40" s="20">
        <v>0</v>
      </c>
      <c r="BC40" s="20">
        <v>1</v>
      </c>
      <c r="BD40" s="18">
        <v>0</v>
      </c>
      <c r="BE40" s="26"/>
      <c r="BF40" s="49">
        <v>37834</v>
      </c>
      <c r="BG40" s="17">
        <v>38077</v>
      </c>
      <c r="BH40" s="17"/>
      <c r="BI40" s="2"/>
      <c r="BJ40" s="35">
        <f t="shared" si="35"/>
        <v>43.926078028747433</v>
      </c>
      <c r="BK40" s="35">
        <f t="shared" si="36"/>
        <v>1337</v>
      </c>
      <c r="BL40" s="35">
        <v>0</v>
      </c>
      <c r="BM40" s="17"/>
      <c r="BN40" s="35"/>
      <c r="BO40" s="35">
        <f t="shared" si="24"/>
        <v>35.94250513347022</v>
      </c>
      <c r="BP40" s="35">
        <f t="shared" si="37"/>
        <v>1093.9999999999998</v>
      </c>
      <c r="BQ40" s="35">
        <v>0</v>
      </c>
      <c r="BR40" s="17"/>
      <c r="BS40" s="11">
        <f t="shared" si="38"/>
        <v>35.94250513347022</v>
      </c>
      <c r="BT40" s="35">
        <f t="shared" si="11"/>
        <v>1093.9999999999998</v>
      </c>
      <c r="BU40" s="35">
        <f>BQ40+BL40</f>
        <v>0</v>
      </c>
      <c r="BV40" s="35">
        <v>1</v>
      </c>
      <c r="BW40" s="35">
        <v>1</v>
      </c>
      <c r="BX40" s="17"/>
      <c r="BY40" s="35">
        <f t="shared" si="39"/>
        <v>35.94250513347022</v>
      </c>
      <c r="BZ40" s="35">
        <f t="shared" si="13"/>
        <v>1093.9999999999998</v>
      </c>
      <c r="CA40" s="35">
        <f t="shared" si="25"/>
        <v>0</v>
      </c>
      <c r="CB40" s="17"/>
      <c r="CC40" s="35">
        <f t="shared" si="27"/>
        <v>35.94250513347022</v>
      </c>
      <c r="CD40" s="35">
        <f t="shared" si="28"/>
        <v>1093.9999999999998</v>
      </c>
      <c r="CE40" s="8" t="s">
        <v>38</v>
      </c>
      <c r="CF40" s="9" t="s">
        <v>38</v>
      </c>
      <c r="CG40" s="35">
        <v>1</v>
      </c>
      <c r="CH40" s="43">
        <v>3.76</v>
      </c>
      <c r="CI40" s="9" t="s">
        <v>38</v>
      </c>
      <c r="CJ40" s="9" t="s">
        <v>38</v>
      </c>
      <c r="CK40" s="9" t="s">
        <v>38</v>
      </c>
      <c r="CL40" s="9"/>
      <c r="CM40" s="9" t="s">
        <v>408</v>
      </c>
      <c r="CN40" s="17"/>
      <c r="CO40" s="35">
        <v>0</v>
      </c>
      <c r="CP40" s="17"/>
      <c r="CQ40" s="17" t="s">
        <v>408</v>
      </c>
      <c r="CR40" s="9"/>
    </row>
    <row r="41" spans="1:96">
      <c r="A41" s="3" t="s">
        <v>188</v>
      </c>
      <c r="B41" s="3" t="s">
        <v>189</v>
      </c>
      <c r="C41" s="4">
        <v>110</v>
      </c>
      <c r="D41" s="27">
        <v>39</v>
      </c>
      <c r="E41" s="4">
        <v>9700</v>
      </c>
      <c r="F41" s="5">
        <v>15763</v>
      </c>
      <c r="G41" s="6">
        <v>3172077</v>
      </c>
      <c r="H41" s="7" t="s">
        <v>50</v>
      </c>
      <c r="I41" s="44">
        <v>36769</v>
      </c>
      <c r="J41" s="6">
        <f t="shared" si="29"/>
        <v>57.511293634496923</v>
      </c>
      <c r="K41" s="18">
        <v>1</v>
      </c>
      <c r="L41" s="7" t="s">
        <v>190</v>
      </c>
      <c r="M41" s="3" t="s">
        <v>64</v>
      </c>
      <c r="N41" s="4" t="s">
        <v>107</v>
      </c>
      <c r="O41" s="4">
        <v>1</v>
      </c>
      <c r="P41" s="4">
        <v>0</v>
      </c>
      <c r="Q41" s="4">
        <v>0</v>
      </c>
      <c r="R41" s="4">
        <v>0</v>
      </c>
      <c r="S41" s="4">
        <v>0</v>
      </c>
      <c r="T41" s="9" t="s">
        <v>155</v>
      </c>
      <c r="U41" s="37" t="s">
        <v>402</v>
      </c>
      <c r="V41" s="37">
        <v>1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10">
        <v>35990</v>
      </c>
      <c r="AC41" s="10">
        <v>36001</v>
      </c>
      <c r="AD41" s="11">
        <f t="shared" si="30"/>
        <v>0.3613963039014374</v>
      </c>
      <c r="AE41" s="11">
        <v>1</v>
      </c>
      <c r="AF41" s="11">
        <v>1</v>
      </c>
      <c r="AG41" s="10" t="s">
        <v>389</v>
      </c>
      <c r="AH41" s="35">
        <v>1</v>
      </c>
      <c r="AI41" s="12" t="s">
        <v>315</v>
      </c>
      <c r="AJ41" s="10">
        <v>36501</v>
      </c>
      <c r="AK41" s="11">
        <f t="shared" si="31"/>
        <v>8.8049281314168386</v>
      </c>
      <c r="AL41" s="11">
        <f t="shared" si="32"/>
        <v>16.427104722792606</v>
      </c>
      <c r="AM41" s="11">
        <f t="shared" si="33"/>
        <v>25.593429158110883</v>
      </c>
      <c r="AN41" s="2">
        <v>2</v>
      </c>
      <c r="AO41" s="2">
        <v>0</v>
      </c>
      <c r="AP41" s="13">
        <v>36781</v>
      </c>
      <c r="AQ41" s="13">
        <v>36792</v>
      </c>
      <c r="AR41" s="14">
        <f t="shared" si="34"/>
        <v>1.5714285714285714</v>
      </c>
      <c r="AS41" s="20">
        <v>10</v>
      </c>
      <c r="AT41" s="20">
        <v>5</v>
      </c>
      <c r="AU41" s="20">
        <f t="shared" si="22"/>
        <v>50</v>
      </c>
      <c r="AV41" s="20">
        <v>0</v>
      </c>
      <c r="AW41" s="20">
        <v>0</v>
      </c>
      <c r="AX41" s="20">
        <v>1</v>
      </c>
      <c r="AY41" s="20">
        <v>0</v>
      </c>
      <c r="AZ41" s="20">
        <v>0</v>
      </c>
      <c r="BA41" s="20">
        <v>0</v>
      </c>
      <c r="BB41" s="20">
        <v>0</v>
      </c>
      <c r="BC41" s="20">
        <v>1</v>
      </c>
      <c r="BD41" s="18">
        <v>0</v>
      </c>
      <c r="BE41" s="26"/>
      <c r="BF41" s="49">
        <v>37709</v>
      </c>
      <c r="BG41" s="17">
        <v>38077</v>
      </c>
      <c r="BH41" s="17"/>
      <c r="BI41" s="2"/>
      <c r="BJ41" s="35">
        <f t="shared" si="35"/>
        <v>42.973305954825463</v>
      </c>
      <c r="BK41" s="35">
        <f t="shared" si="36"/>
        <v>1308</v>
      </c>
      <c r="BL41" s="35">
        <v>0</v>
      </c>
      <c r="BM41" s="17"/>
      <c r="BN41" s="35"/>
      <c r="BO41" s="35">
        <f t="shared" si="24"/>
        <v>30.882956878850102</v>
      </c>
      <c r="BP41" s="35">
        <f t="shared" si="37"/>
        <v>940</v>
      </c>
      <c r="BQ41" s="35">
        <v>0</v>
      </c>
      <c r="BR41" s="17"/>
      <c r="BS41" s="11">
        <f t="shared" si="38"/>
        <v>30.882956878850102</v>
      </c>
      <c r="BT41" s="35">
        <f t="shared" si="11"/>
        <v>940</v>
      </c>
      <c r="BU41" s="35">
        <v>0</v>
      </c>
      <c r="BV41" s="35">
        <v>1</v>
      </c>
      <c r="BW41" s="35">
        <v>1</v>
      </c>
      <c r="BX41" s="17"/>
      <c r="BY41" s="35">
        <f t="shared" si="39"/>
        <v>30.882956878850102</v>
      </c>
      <c r="BZ41" s="35">
        <f t="shared" si="13"/>
        <v>940</v>
      </c>
      <c r="CA41" s="35">
        <f t="shared" si="25"/>
        <v>0</v>
      </c>
      <c r="CB41" s="17"/>
      <c r="CC41" s="35">
        <f t="shared" si="27"/>
        <v>30.882956878850102</v>
      </c>
      <c r="CD41" s="35">
        <f t="shared" si="28"/>
        <v>940</v>
      </c>
      <c r="CE41" s="8"/>
      <c r="CF41" s="9"/>
      <c r="CG41" s="35">
        <v>2</v>
      </c>
      <c r="CH41" s="43">
        <f>7.29+5.36</f>
        <v>12.65</v>
      </c>
      <c r="CI41" s="9"/>
      <c r="CJ41" s="9"/>
      <c r="CK41" s="9" t="s">
        <v>383</v>
      </c>
      <c r="CL41" s="9"/>
      <c r="CM41" s="9" t="s">
        <v>408</v>
      </c>
      <c r="CN41" s="17"/>
      <c r="CO41" s="35">
        <v>0</v>
      </c>
      <c r="CP41" s="17"/>
      <c r="CQ41" s="17" t="s">
        <v>408</v>
      </c>
      <c r="CR41" s="9"/>
    </row>
    <row r="42" spans="1:96">
      <c r="A42" s="3" t="s">
        <v>333</v>
      </c>
      <c r="B42" s="3" t="s">
        <v>69</v>
      </c>
      <c r="C42" s="4">
        <v>112</v>
      </c>
      <c r="D42" s="27">
        <v>40</v>
      </c>
      <c r="E42" s="4">
        <v>9700</v>
      </c>
      <c r="F42" s="5">
        <v>17073</v>
      </c>
      <c r="G42" s="6">
        <v>1240593</v>
      </c>
      <c r="H42" s="7" t="s">
        <v>121</v>
      </c>
      <c r="I42" s="44">
        <v>36775</v>
      </c>
      <c r="J42" s="6">
        <f t="shared" si="29"/>
        <v>53.941136208076657</v>
      </c>
      <c r="K42" s="18">
        <v>1</v>
      </c>
      <c r="L42" s="7" t="s">
        <v>49</v>
      </c>
      <c r="M42" s="3" t="s">
        <v>327</v>
      </c>
      <c r="N42" s="4" t="s">
        <v>510</v>
      </c>
      <c r="O42" s="4">
        <v>0</v>
      </c>
      <c r="P42" s="4">
        <v>1</v>
      </c>
      <c r="Q42" s="4">
        <v>0</v>
      </c>
      <c r="R42" s="4">
        <v>0</v>
      </c>
      <c r="S42" s="4">
        <v>0</v>
      </c>
      <c r="T42" s="9" t="s">
        <v>155</v>
      </c>
      <c r="U42" s="37" t="s">
        <v>402</v>
      </c>
      <c r="V42" s="37">
        <v>1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10">
        <v>36539</v>
      </c>
      <c r="AC42" s="10">
        <v>36539</v>
      </c>
      <c r="AD42" s="11">
        <f t="shared" si="30"/>
        <v>0</v>
      </c>
      <c r="AE42" s="11">
        <v>0</v>
      </c>
      <c r="AF42" s="11">
        <v>0</v>
      </c>
      <c r="AG42" s="10" t="s">
        <v>389</v>
      </c>
      <c r="AH42" s="35">
        <v>1</v>
      </c>
      <c r="AI42" s="12" t="s">
        <v>327</v>
      </c>
      <c r="AJ42" s="10">
        <v>36539</v>
      </c>
      <c r="AK42" s="11">
        <f t="shared" si="31"/>
        <v>7.7535934291581112</v>
      </c>
      <c r="AL42" s="11">
        <f t="shared" si="32"/>
        <v>0</v>
      </c>
      <c r="AM42" s="11">
        <f t="shared" si="33"/>
        <v>7.7535934291581112</v>
      </c>
      <c r="AN42" s="2">
        <v>3</v>
      </c>
      <c r="AO42" s="2">
        <v>0</v>
      </c>
      <c r="AP42" s="13">
        <v>36816</v>
      </c>
      <c r="AQ42" s="13">
        <v>36831</v>
      </c>
      <c r="AR42" s="14">
        <f t="shared" si="34"/>
        <v>2.1428571428571428</v>
      </c>
      <c r="AS42" s="20">
        <v>10</v>
      </c>
      <c r="AT42" s="20">
        <v>5</v>
      </c>
      <c r="AU42" s="20">
        <f t="shared" si="22"/>
        <v>50</v>
      </c>
      <c r="AV42" s="20">
        <v>1</v>
      </c>
      <c r="AW42" s="20">
        <v>1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2</v>
      </c>
      <c r="BD42" s="18">
        <v>0</v>
      </c>
      <c r="BE42" s="26"/>
      <c r="BF42" s="49">
        <v>38060</v>
      </c>
      <c r="BG42" s="17">
        <v>38077</v>
      </c>
      <c r="BH42" s="17"/>
      <c r="BI42" s="2"/>
      <c r="BJ42" s="35">
        <f t="shared" si="35"/>
        <v>42.776180698151947</v>
      </c>
      <c r="BK42" s="35">
        <f t="shared" si="36"/>
        <v>1301.9999999999998</v>
      </c>
      <c r="BL42" s="35">
        <v>0</v>
      </c>
      <c r="BM42" s="17"/>
      <c r="BN42" s="35"/>
      <c r="BO42" s="35">
        <f t="shared" si="24"/>
        <v>42.217659137577002</v>
      </c>
      <c r="BP42" s="35">
        <f t="shared" si="37"/>
        <v>1285</v>
      </c>
      <c r="BQ42" s="35">
        <v>0</v>
      </c>
      <c r="BR42" s="17"/>
      <c r="BS42" s="11">
        <f t="shared" si="38"/>
        <v>42.217659137577002</v>
      </c>
      <c r="BT42" s="35">
        <f t="shared" si="11"/>
        <v>1285</v>
      </c>
      <c r="BU42" s="35">
        <f>BQ42+BL42</f>
        <v>0</v>
      </c>
      <c r="BV42" s="35">
        <v>1</v>
      </c>
      <c r="BW42" s="35">
        <v>1</v>
      </c>
      <c r="BX42" s="17"/>
      <c r="BY42" s="35">
        <f t="shared" si="39"/>
        <v>42.217659137577002</v>
      </c>
      <c r="BZ42" s="35">
        <f t="shared" si="13"/>
        <v>1285</v>
      </c>
      <c r="CA42" s="35">
        <f t="shared" si="25"/>
        <v>0</v>
      </c>
      <c r="CB42" s="17"/>
      <c r="CC42" s="35">
        <f t="shared" si="27"/>
        <v>42.217659137577002</v>
      </c>
      <c r="CD42" s="35">
        <f t="shared" si="28"/>
        <v>1285</v>
      </c>
      <c r="CE42" s="8" t="s">
        <v>38</v>
      </c>
      <c r="CF42" s="9" t="s">
        <v>38</v>
      </c>
      <c r="CG42" s="35">
        <v>1</v>
      </c>
      <c r="CH42" s="43">
        <f>4.69+0.25+2.19</f>
        <v>7.1300000000000008</v>
      </c>
      <c r="CI42" s="9" t="s">
        <v>38</v>
      </c>
      <c r="CJ42" s="9" t="s">
        <v>38</v>
      </c>
      <c r="CK42" s="9" t="s">
        <v>363</v>
      </c>
      <c r="CL42" s="9"/>
      <c r="CM42" s="9" t="s">
        <v>408</v>
      </c>
      <c r="CN42" s="17">
        <v>37580</v>
      </c>
      <c r="CO42" s="35">
        <v>1</v>
      </c>
      <c r="CP42" s="35">
        <f>(CN42-AP42)*12/365.25</f>
        <v>25.100616016427104</v>
      </c>
      <c r="CQ42" s="35" t="s">
        <v>389</v>
      </c>
      <c r="CR42" s="9"/>
    </row>
    <row r="43" spans="1:96" ht="25.5">
      <c r="A43" s="3" t="s">
        <v>86</v>
      </c>
      <c r="B43" s="3" t="s">
        <v>259</v>
      </c>
      <c r="C43" s="4">
        <v>116</v>
      </c>
      <c r="D43" s="27">
        <v>41</v>
      </c>
      <c r="E43" s="4">
        <v>9700</v>
      </c>
      <c r="F43" s="5">
        <v>16321</v>
      </c>
      <c r="G43" s="6">
        <v>2007016</v>
      </c>
      <c r="H43" s="7" t="s">
        <v>121</v>
      </c>
      <c r="I43" s="44">
        <v>36817</v>
      </c>
      <c r="J43" s="6">
        <f t="shared" si="29"/>
        <v>56.114989733059545</v>
      </c>
      <c r="K43" s="18">
        <v>0</v>
      </c>
      <c r="L43" s="7" t="s">
        <v>34</v>
      </c>
      <c r="M43" s="3" t="s">
        <v>347</v>
      </c>
      <c r="N43" s="4" t="s">
        <v>509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9" t="s">
        <v>342</v>
      </c>
      <c r="U43" s="37" t="s">
        <v>506</v>
      </c>
      <c r="V43" s="37">
        <v>0</v>
      </c>
      <c r="W43" s="37">
        <v>0</v>
      </c>
      <c r="X43" s="37">
        <v>1</v>
      </c>
      <c r="Y43" s="37">
        <v>0</v>
      </c>
      <c r="Z43" s="37">
        <v>0</v>
      </c>
      <c r="AA43" s="37">
        <v>0</v>
      </c>
      <c r="AB43" s="10">
        <v>32673</v>
      </c>
      <c r="AC43" s="10">
        <v>35595</v>
      </c>
      <c r="AD43" s="11">
        <f t="shared" si="30"/>
        <v>96</v>
      </c>
      <c r="AE43" s="11">
        <v>0</v>
      </c>
      <c r="AF43" s="11">
        <v>0</v>
      </c>
      <c r="AG43" s="10" t="s">
        <v>391</v>
      </c>
      <c r="AH43" s="35">
        <v>0</v>
      </c>
      <c r="AI43" s="12" t="s">
        <v>327</v>
      </c>
      <c r="AJ43" s="10">
        <v>35595</v>
      </c>
      <c r="AK43" s="11">
        <f t="shared" si="31"/>
        <v>40.147843942505133</v>
      </c>
      <c r="AL43" s="11">
        <f t="shared" si="32"/>
        <v>0</v>
      </c>
      <c r="AM43" s="11">
        <f t="shared" si="33"/>
        <v>136.14784394250515</v>
      </c>
      <c r="AN43" s="2">
        <v>4</v>
      </c>
      <c r="AO43" s="2">
        <v>0</v>
      </c>
      <c r="AP43" s="13">
        <v>36845</v>
      </c>
      <c r="AQ43" s="13">
        <v>36860</v>
      </c>
      <c r="AR43" s="14">
        <f t="shared" si="34"/>
        <v>2.1428571428571428</v>
      </c>
      <c r="AS43" s="20">
        <v>10</v>
      </c>
      <c r="AT43" s="20">
        <v>5</v>
      </c>
      <c r="AU43" s="20">
        <f t="shared" si="22"/>
        <v>50</v>
      </c>
      <c r="AV43" s="20">
        <v>1</v>
      </c>
      <c r="AW43" s="27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1</v>
      </c>
      <c r="BD43" s="18">
        <v>0</v>
      </c>
      <c r="BE43" s="26"/>
      <c r="BF43" s="44">
        <v>37767</v>
      </c>
      <c r="BG43" s="17">
        <v>38077</v>
      </c>
      <c r="BH43" s="17"/>
      <c r="BI43" s="2"/>
      <c r="BJ43" s="35">
        <f t="shared" si="35"/>
        <v>41.396303901437371</v>
      </c>
      <c r="BK43" s="35">
        <f t="shared" si="36"/>
        <v>1260</v>
      </c>
      <c r="BL43" s="35">
        <v>1</v>
      </c>
      <c r="BM43" s="17">
        <v>37419</v>
      </c>
      <c r="BN43" s="35">
        <f>(BM43-AQ43)*12/365.25</f>
        <v>18.365503080082135</v>
      </c>
      <c r="BO43" s="35">
        <f>(BM43-I43)*12/365.25</f>
        <v>19.7782340862423</v>
      </c>
      <c r="BP43" s="35">
        <f t="shared" si="37"/>
        <v>602</v>
      </c>
      <c r="BQ43" s="35">
        <v>1</v>
      </c>
      <c r="BR43" s="17">
        <v>37685</v>
      </c>
      <c r="BS43" s="11">
        <f>(BR43-I43)*12/365.25</f>
        <v>28.517453798767967</v>
      </c>
      <c r="BT43" s="35">
        <f t="shared" si="11"/>
        <v>868</v>
      </c>
      <c r="BU43" s="35">
        <v>1</v>
      </c>
      <c r="BV43" s="35">
        <v>0</v>
      </c>
      <c r="BW43" s="35">
        <v>0</v>
      </c>
      <c r="BX43" s="17">
        <f>BM43</f>
        <v>37419</v>
      </c>
      <c r="BY43" s="35">
        <f t="shared" ref="BY43:BY49" si="40">(BX43-I43)*12/365.25</f>
        <v>19.7782340862423</v>
      </c>
      <c r="BZ43" s="35">
        <f t="shared" si="13"/>
        <v>602</v>
      </c>
      <c r="CA43" s="35">
        <f t="shared" si="25"/>
        <v>1</v>
      </c>
      <c r="CB43" s="17">
        <f>BX43</f>
        <v>37419</v>
      </c>
      <c r="CC43" s="35">
        <f t="shared" si="27"/>
        <v>19.7782340862423</v>
      </c>
      <c r="CD43" s="35">
        <f t="shared" si="28"/>
        <v>602</v>
      </c>
      <c r="CE43" s="8"/>
      <c r="CF43" s="9"/>
      <c r="CG43" s="35">
        <v>2</v>
      </c>
      <c r="CH43" s="43">
        <f>7.83+2.26+3.7+0</f>
        <v>13.79</v>
      </c>
      <c r="CI43" s="9"/>
      <c r="CJ43" s="9"/>
      <c r="CK43" s="9" t="s">
        <v>38</v>
      </c>
      <c r="CL43" s="9"/>
      <c r="CM43" s="9" t="s">
        <v>408</v>
      </c>
      <c r="CN43" s="17"/>
      <c r="CO43" s="35">
        <v>0</v>
      </c>
      <c r="CP43" s="17"/>
      <c r="CQ43" s="17" t="s">
        <v>408</v>
      </c>
      <c r="CR43" s="9"/>
    </row>
    <row r="44" spans="1:96">
      <c r="A44" s="3" t="s">
        <v>76</v>
      </c>
      <c r="B44" s="3" t="s">
        <v>77</v>
      </c>
      <c r="C44" s="4">
        <v>120</v>
      </c>
      <c r="D44" s="27">
        <v>42</v>
      </c>
      <c r="E44" s="4">
        <v>9700</v>
      </c>
      <c r="F44" s="5">
        <v>12027</v>
      </c>
      <c r="G44" s="6">
        <v>2496066</v>
      </c>
      <c r="H44" s="7" t="s">
        <v>50</v>
      </c>
      <c r="I44" s="44">
        <v>36823</v>
      </c>
      <c r="J44" s="6">
        <f t="shared" si="29"/>
        <v>67.887748117727583</v>
      </c>
      <c r="K44" s="18">
        <v>1</v>
      </c>
      <c r="L44" s="7" t="s">
        <v>48</v>
      </c>
      <c r="M44" s="3" t="s">
        <v>327</v>
      </c>
      <c r="N44" s="4" t="s">
        <v>510</v>
      </c>
      <c r="O44" s="4">
        <v>0</v>
      </c>
      <c r="P44" s="4">
        <v>1</v>
      </c>
      <c r="Q44" s="4">
        <v>0</v>
      </c>
      <c r="R44" s="4">
        <v>0</v>
      </c>
      <c r="S44" s="4">
        <v>0</v>
      </c>
      <c r="T44" s="9" t="s">
        <v>155</v>
      </c>
      <c r="U44" s="37" t="s">
        <v>402</v>
      </c>
      <c r="V44" s="37">
        <v>1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10">
        <v>33342</v>
      </c>
      <c r="AC44" s="10">
        <v>36319</v>
      </c>
      <c r="AD44" s="11">
        <f t="shared" si="30"/>
        <v>97.80698151950719</v>
      </c>
      <c r="AE44" s="11">
        <v>1</v>
      </c>
      <c r="AF44" s="11">
        <v>0</v>
      </c>
      <c r="AG44" s="10" t="s">
        <v>390</v>
      </c>
      <c r="AH44" s="35">
        <v>1</v>
      </c>
      <c r="AI44" s="12" t="s">
        <v>327</v>
      </c>
      <c r="AJ44" s="10">
        <v>36789</v>
      </c>
      <c r="AK44" s="11">
        <f t="shared" si="31"/>
        <v>1.1170431211498972</v>
      </c>
      <c r="AL44" s="11">
        <f t="shared" si="32"/>
        <v>15.441478439425051</v>
      </c>
      <c r="AM44" s="11">
        <f t="shared" si="33"/>
        <v>114.36550308008214</v>
      </c>
      <c r="AN44" s="2">
        <v>1</v>
      </c>
      <c r="AO44" s="2">
        <v>1</v>
      </c>
      <c r="AP44" s="13">
        <v>36860</v>
      </c>
      <c r="AQ44" s="13">
        <v>36874</v>
      </c>
      <c r="AR44" s="14">
        <f t="shared" si="34"/>
        <v>2</v>
      </c>
      <c r="AS44" s="20">
        <v>10</v>
      </c>
      <c r="AT44" s="20">
        <v>5</v>
      </c>
      <c r="AU44" s="20">
        <f t="shared" si="22"/>
        <v>50</v>
      </c>
      <c r="AV44" s="20">
        <v>1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1</v>
      </c>
      <c r="BD44" s="18">
        <v>0</v>
      </c>
      <c r="BE44" s="26"/>
      <c r="BF44" s="44">
        <v>37700</v>
      </c>
      <c r="BG44" s="17">
        <v>38077</v>
      </c>
      <c r="BH44" s="17"/>
      <c r="BI44" s="2"/>
      <c r="BJ44" s="35">
        <f t="shared" si="35"/>
        <v>41.199178644763862</v>
      </c>
      <c r="BK44" s="35">
        <f t="shared" si="36"/>
        <v>1254</v>
      </c>
      <c r="BL44" s="35">
        <v>0</v>
      </c>
      <c r="BM44" s="17"/>
      <c r="BN44" s="35"/>
      <c r="BO44" s="35">
        <f>(BF44-I44)/365.25*12</f>
        <v>28.813141683778234</v>
      </c>
      <c r="BP44" s="35">
        <f t="shared" si="37"/>
        <v>877</v>
      </c>
      <c r="BQ44" s="35">
        <v>0</v>
      </c>
      <c r="BR44" s="17">
        <v>37447</v>
      </c>
      <c r="BS44" s="11">
        <f>(BR44-I44)*12/365.25</f>
        <v>20.501026694045173</v>
      </c>
      <c r="BT44" s="35">
        <f t="shared" si="11"/>
        <v>623.99999999999989</v>
      </c>
      <c r="BU44" s="35">
        <v>1</v>
      </c>
      <c r="BV44" s="35">
        <v>0</v>
      </c>
      <c r="BW44" s="35">
        <v>0</v>
      </c>
      <c r="BX44" s="17">
        <v>37447</v>
      </c>
      <c r="BY44" s="35">
        <f t="shared" si="40"/>
        <v>20.501026694045173</v>
      </c>
      <c r="BZ44" s="35">
        <f t="shared" si="13"/>
        <v>623.99999999999989</v>
      </c>
      <c r="CA44" s="35">
        <f t="shared" si="25"/>
        <v>1</v>
      </c>
      <c r="CB44" s="17">
        <f>BX44</f>
        <v>37447</v>
      </c>
      <c r="CC44" s="35">
        <f t="shared" si="27"/>
        <v>20.501026694045173</v>
      </c>
      <c r="CD44" s="35">
        <f t="shared" si="28"/>
        <v>623.99999999999989</v>
      </c>
      <c r="CE44" s="8" t="s">
        <v>38</v>
      </c>
      <c r="CF44" s="9" t="s">
        <v>38</v>
      </c>
      <c r="CG44" s="35">
        <v>1</v>
      </c>
      <c r="CH44" s="43">
        <v>9.44</v>
      </c>
      <c r="CI44" s="9" t="s">
        <v>38</v>
      </c>
      <c r="CJ44" s="9" t="s">
        <v>38</v>
      </c>
      <c r="CK44" s="9" t="s">
        <v>383</v>
      </c>
      <c r="CL44" s="9"/>
      <c r="CM44" s="9" t="s">
        <v>408</v>
      </c>
      <c r="CN44" s="17"/>
      <c r="CO44" s="35">
        <v>0</v>
      </c>
      <c r="CP44" s="17"/>
      <c r="CQ44" s="17" t="s">
        <v>408</v>
      </c>
      <c r="CR44" s="9"/>
    </row>
    <row r="45" spans="1:96">
      <c r="A45" s="3" t="s">
        <v>291</v>
      </c>
      <c r="B45" s="3" t="s">
        <v>106</v>
      </c>
      <c r="C45" s="4">
        <v>122</v>
      </c>
      <c r="D45" s="27">
        <v>43</v>
      </c>
      <c r="E45" s="4">
        <v>9700</v>
      </c>
      <c r="F45" s="5">
        <v>14296</v>
      </c>
      <c r="G45" s="6">
        <v>2261753</v>
      </c>
      <c r="H45" s="7" t="s">
        <v>121</v>
      </c>
      <c r="I45" s="44">
        <v>36847</v>
      </c>
      <c r="J45" s="6">
        <f t="shared" si="29"/>
        <v>61.741273100616013</v>
      </c>
      <c r="K45" s="18">
        <v>0</v>
      </c>
      <c r="L45" s="7" t="s">
        <v>34</v>
      </c>
      <c r="M45" s="3" t="s">
        <v>292</v>
      </c>
      <c r="N45" s="4" t="s">
        <v>509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9" t="s">
        <v>110</v>
      </c>
      <c r="U45" s="37" t="s">
        <v>508</v>
      </c>
      <c r="V45" s="37">
        <v>0</v>
      </c>
      <c r="W45" s="37">
        <v>0</v>
      </c>
      <c r="X45" s="37">
        <v>0</v>
      </c>
      <c r="Y45" s="37">
        <v>1</v>
      </c>
      <c r="Z45" s="37">
        <v>0</v>
      </c>
      <c r="AA45" s="37">
        <v>0</v>
      </c>
      <c r="AB45" s="10">
        <v>36205</v>
      </c>
      <c r="AC45" s="10">
        <v>36205</v>
      </c>
      <c r="AD45" s="11">
        <f t="shared" si="30"/>
        <v>0</v>
      </c>
      <c r="AE45" s="11">
        <v>1</v>
      </c>
      <c r="AF45" s="11">
        <v>1</v>
      </c>
      <c r="AG45" s="10" t="s">
        <v>389</v>
      </c>
      <c r="AH45" s="35">
        <v>1</v>
      </c>
      <c r="AI45" s="12" t="s">
        <v>315</v>
      </c>
      <c r="AJ45" s="10">
        <v>36789</v>
      </c>
      <c r="AK45" s="11">
        <f t="shared" si="31"/>
        <v>1.9055441478439425</v>
      </c>
      <c r="AL45" s="11">
        <f t="shared" si="32"/>
        <v>19.186858316221766</v>
      </c>
      <c r="AM45" s="11">
        <f t="shared" si="33"/>
        <v>21.09240246406571</v>
      </c>
      <c r="AN45" s="2">
        <v>2</v>
      </c>
      <c r="AO45" s="2">
        <v>0</v>
      </c>
      <c r="AP45" s="13">
        <v>36865</v>
      </c>
      <c r="AQ45" s="13">
        <v>36876</v>
      </c>
      <c r="AR45" s="14">
        <f t="shared" si="34"/>
        <v>1.5714285714285714</v>
      </c>
      <c r="AS45" s="20">
        <v>10</v>
      </c>
      <c r="AT45" s="20">
        <v>3.75</v>
      </c>
      <c r="AU45" s="20">
        <f t="shared" si="22"/>
        <v>37.5</v>
      </c>
      <c r="AV45" s="20">
        <v>0</v>
      </c>
      <c r="AW45" s="20">
        <v>0</v>
      </c>
      <c r="AX45" s="20">
        <v>1</v>
      </c>
      <c r="AY45" s="20">
        <v>0</v>
      </c>
      <c r="AZ45" s="20">
        <v>0</v>
      </c>
      <c r="BA45" s="20">
        <v>0</v>
      </c>
      <c r="BB45" s="20">
        <v>0</v>
      </c>
      <c r="BC45" s="20">
        <v>1</v>
      </c>
      <c r="BD45" s="15">
        <v>0</v>
      </c>
      <c r="BE45" s="26"/>
      <c r="BF45" s="49">
        <v>37709</v>
      </c>
      <c r="BG45" s="17">
        <v>38077</v>
      </c>
      <c r="BH45" s="17"/>
      <c r="BI45" s="2"/>
      <c r="BJ45" s="35">
        <f t="shared" si="35"/>
        <v>40.410677618069819</v>
      </c>
      <c r="BK45" s="35">
        <f t="shared" si="36"/>
        <v>1230.0000000000002</v>
      </c>
      <c r="BL45" s="35">
        <v>1</v>
      </c>
      <c r="BM45" s="17">
        <v>37499</v>
      </c>
      <c r="BN45" s="35">
        <f>(BM45-AQ45)*12/365.25</f>
        <v>20.468172484599588</v>
      </c>
      <c r="BO45" s="35">
        <f>(BM45-I45)*12/365.25</f>
        <v>21.420944558521562</v>
      </c>
      <c r="BP45" s="35">
        <f t="shared" si="37"/>
        <v>652.00000000000011</v>
      </c>
      <c r="BQ45" s="35">
        <v>0</v>
      </c>
      <c r="BR45" s="17"/>
      <c r="BS45" s="11">
        <f>(BF45-I45)/365.25*12</f>
        <v>28.320328542094458</v>
      </c>
      <c r="BT45" s="35">
        <f t="shared" si="11"/>
        <v>862</v>
      </c>
      <c r="BU45" s="35">
        <f>BQ45+BL45</f>
        <v>1</v>
      </c>
      <c r="BV45" s="35">
        <v>1</v>
      </c>
      <c r="BW45" s="35">
        <v>1</v>
      </c>
      <c r="BX45" s="17">
        <f>BM45</f>
        <v>37499</v>
      </c>
      <c r="BY45" s="35">
        <f t="shared" si="40"/>
        <v>21.420944558521562</v>
      </c>
      <c r="BZ45" s="35">
        <f t="shared" si="13"/>
        <v>652.00000000000011</v>
      </c>
      <c r="CA45" s="50">
        <v>0</v>
      </c>
      <c r="CB45" s="48">
        <f>BF45</f>
        <v>37709</v>
      </c>
      <c r="CC45" s="50">
        <f>(CB45-I45)/365.25*12</f>
        <v>28.320328542094458</v>
      </c>
      <c r="CD45" s="50">
        <f>CC45*365.25/12</f>
        <v>862</v>
      </c>
      <c r="CE45" s="8"/>
      <c r="CF45" s="9"/>
      <c r="CG45" s="35">
        <v>5</v>
      </c>
      <c r="CH45" s="43">
        <f>193.6+45.36</f>
        <v>238.95999999999998</v>
      </c>
      <c r="CI45" s="9" t="s">
        <v>38</v>
      </c>
      <c r="CJ45" s="9" t="s">
        <v>516</v>
      </c>
      <c r="CK45" s="9" t="s">
        <v>38</v>
      </c>
      <c r="CL45" s="9"/>
      <c r="CM45" s="9" t="s">
        <v>389</v>
      </c>
      <c r="CN45" s="17"/>
      <c r="CO45" s="35">
        <v>0</v>
      </c>
      <c r="CP45" s="17"/>
      <c r="CQ45" s="17" t="s">
        <v>408</v>
      </c>
      <c r="CR45" s="9"/>
    </row>
    <row r="46" spans="1:96" s="60" customFormat="1">
      <c r="A46" s="62" t="s">
        <v>113</v>
      </c>
      <c r="B46" s="62" t="s">
        <v>114</v>
      </c>
      <c r="C46" s="63">
        <v>133</v>
      </c>
      <c r="D46" s="52">
        <v>44</v>
      </c>
      <c r="E46" s="63">
        <v>9700</v>
      </c>
      <c r="F46" s="64">
        <v>15176</v>
      </c>
      <c r="G46" s="65">
        <v>2252331</v>
      </c>
      <c r="H46" s="66" t="s">
        <v>121</v>
      </c>
      <c r="I46" s="67">
        <v>36981</v>
      </c>
      <c r="J46" s="65">
        <f t="shared" si="29"/>
        <v>59.698836413415471</v>
      </c>
      <c r="K46" s="68">
        <v>1</v>
      </c>
      <c r="L46" s="66" t="s">
        <v>34</v>
      </c>
      <c r="M46" s="62" t="s">
        <v>122</v>
      </c>
      <c r="N46" s="63" t="s">
        <v>403</v>
      </c>
      <c r="O46" s="63">
        <v>0</v>
      </c>
      <c r="P46" s="63">
        <v>0</v>
      </c>
      <c r="Q46" s="63">
        <v>1</v>
      </c>
      <c r="R46" s="63">
        <v>0</v>
      </c>
      <c r="S46" s="63">
        <v>0</v>
      </c>
      <c r="T46" s="69" t="s">
        <v>39</v>
      </c>
      <c r="U46" s="55" t="s">
        <v>402</v>
      </c>
      <c r="V46" s="55">
        <v>1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6">
        <v>34758</v>
      </c>
      <c r="AC46" s="56">
        <v>36769</v>
      </c>
      <c r="AD46" s="57">
        <f t="shared" si="30"/>
        <v>66.069815195071868</v>
      </c>
      <c r="AE46" s="57">
        <v>0</v>
      </c>
      <c r="AF46" s="57">
        <v>0</v>
      </c>
      <c r="AG46" s="56" t="s">
        <v>387</v>
      </c>
      <c r="AH46" s="53">
        <v>1</v>
      </c>
      <c r="AI46" s="70" t="s">
        <v>315</v>
      </c>
      <c r="AJ46" s="56">
        <v>36769</v>
      </c>
      <c r="AK46" s="57">
        <f t="shared" si="31"/>
        <v>6.9650924024640659</v>
      </c>
      <c r="AL46" s="57">
        <f t="shared" si="32"/>
        <v>0</v>
      </c>
      <c r="AM46" s="57">
        <f t="shared" si="33"/>
        <v>73.034907597535934</v>
      </c>
      <c r="AN46" s="54">
        <v>1</v>
      </c>
      <c r="AO46" s="54">
        <v>1</v>
      </c>
      <c r="AP46" s="71">
        <v>36992</v>
      </c>
      <c r="AQ46" s="71">
        <v>37002</v>
      </c>
      <c r="AR46" s="72">
        <f t="shared" si="34"/>
        <v>1.4285714285714286</v>
      </c>
      <c r="AS46" s="58">
        <v>9</v>
      </c>
      <c r="AT46" s="58">
        <v>4.3</v>
      </c>
      <c r="AU46" s="58">
        <f t="shared" si="22"/>
        <v>38.699999999999996</v>
      </c>
      <c r="AV46" s="58">
        <v>0</v>
      </c>
      <c r="AW46" s="58">
        <v>0</v>
      </c>
      <c r="AX46" s="58">
        <v>1</v>
      </c>
      <c r="AY46" s="58">
        <v>0</v>
      </c>
      <c r="AZ46" s="58">
        <v>0</v>
      </c>
      <c r="BA46" s="58">
        <v>0</v>
      </c>
      <c r="BB46" s="58">
        <v>0</v>
      </c>
      <c r="BC46" s="58">
        <v>1</v>
      </c>
      <c r="BD46" s="68">
        <v>1</v>
      </c>
      <c r="BE46" s="73">
        <v>38005</v>
      </c>
      <c r="BF46" s="67">
        <v>38005</v>
      </c>
      <c r="BG46" s="59">
        <v>38005</v>
      </c>
      <c r="BH46" s="59"/>
      <c r="BI46" s="54"/>
      <c r="BJ46" s="53">
        <f t="shared" si="35"/>
        <v>33.642710472279262</v>
      </c>
      <c r="BK46" s="53">
        <f t="shared" si="36"/>
        <v>1024</v>
      </c>
      <c r="BL46" s="53">
        <v>1</v>
      </c>
      <c r="BM46" s="59">
        <v>37518</v>
      </c>
      <c r="BN46" s="53">
        <f>(BM46-AQ46)*12/365.25</f>
        <v>16.95277207392197</v>
      </c>
      <c r="BO46" s="53">
        <f>(BM46-I46)*12/365.25</f>
        <v>17.642710472279262</v>
      </c>
      <c r="BP46" s="53">
        <f t="shared" si="37"/>
        <v>537.00000000000011</v>
      </c>
      <c r="BQ46" s="53">
        <v>1</v>
      </c>
      <c r="BR46" s="59">
        <v>37518</v>
      </c>
      <c r="BS46" s="57">
        <f>(BR46-I46)*12/365.25</f>
        <v>17.642710472279262</v>
      </c>
      <c r="BT46" s="53">
        <f t="shared" si="11"/>
        <v>537.00000000000011</v>
      </c>
      <c r="BU46" s="53">
        <v>1</v>
      </c>
      <c r="BV46" s="53">
        <v>0</v>
      </c>
      <c r="BW46" s="53">
        <v>0</v>
      </c>
      <c r="BX46" s="59">
        <f>BR46</f>
        <v>37518</v>
      </c>
      <c r="BY46" s="53">
        <f t="shared" si="40"/>
        <v>17.642710472279262</v>
      </c>
      <c r="BZ46" s="53">
        <f t="shared" si="13"/>
        <v>537.00000000000011</v>
      </c>
      <c r="CA46" s="53">
        <f t="shared" ref="CA46:CA61" si="41">BU46</f>
        <v>1</v>
      </c>
      <c r="CB46" s="59">
        <f t="shared" ref="CB46:CD49" si="42">BX46</f>
        <v>37518</v>
      </c>
      <c r="CC46" s="53">
        <f t="shared" si="42"/>
        <v>17.642710472279262</v>
      </c>
      <c r="CD46" s="53">
        <f t="shared" si="42"/>
        <v>537.00000000000011</v>
      </c>
      <c r="CE46" s="74" t="s">
        <v>38</v>
      </c>
      <c r="CF46" s="69" t="s">
        <v>38</v>
      </c>
      <c r="CG46" s="53">
        <v>2</v>
      </c>
      <c r="CH46" s="61">
        <v>16.829999999999998</v>
      </c>
      <c r="CI46" s="69" t="s">
        <v>38</v>
      </c>
      <c r="CJ46" s="69" t="s">
        <v>327</v>
      </c>
      <c r="CK46" s="69" t="s">
        <v>363</v>
      </c>
      <c r="CL46" s="69"/>
      <c r="CM46" s="69" t="s">
        <v>408</v>
      </c>
      <c r="CN46" s="59">
        <v>37398</v>
      </c>
      <c r="CO46" s="53">
        <v>1</v>
      </c>
      <c r="CP46" s="53">
        <f>(CN46-AP46)*12/365.25</f>
        <v>13.338809034907598</v>
      </c>
      <c r="CQ46" s="53" t="s">
        <v>389</v>
      </c>
      <c r="CR46" s="69"/>
    </row>
    <row r="47" spans="1:96" s="60" customFormat="1" ht="25.5">
      <c r="A47" s="62" t="s">
        <v>115</v>
      </c>
      <c r="B47" s="62" t="s">
        <v>262</v>
      </c>
      <c r="C47" s="63">
        <v>134</v>
      </c>
      <c r="D47" s="52">
        <v>45</v>
      </c>
      <c r="E47" s="63">
        <v>9700</v>
      </c>
      <c r="F47" s="64">
        <v>8151</v>
      </c>
      <c r="G47" s="65">
        <v>2290813</v>
      </c>
      <c r="H47" s="66" t="s">
        <v>121</v>
      </c>
      <c r="I47" s="67">
        <v>36986</v>
      </c>
      <c r="J47" s="65">
        <f t="shared" si="29"/>
        <v>78.945927446954144</v>
      </c>
      <c r="K47" s="68">
        <v>1</v>
      </c>
      <c r="L47" s="66" t="s">
        <v>49</v>
      </c>
      <c r="M47" s="62" t="s">
        <v>64</v>
      </c>
      <c r="N47" s="63" t="s">
        <v>107</v>
      </c>
      <c r="O47" s="63">
        <v>1</v>
      </c>
      <c r="P47" s="63">
        <v>0</v>
      </c>
      <c r="Q47" s="63">
        <v>0</v>
      </c>
      <c r="R47" s="63">
        <v>0</v>
      </c>
      <c r="S47" s="63">
        <v>0</v>
      </c>
      <c r="T47" s="69" t="s">
        <v>155</v>
      </c>
      <c r="U47" s="55" t="s">
        <v>402</v>
      </c>
      <c r="V47" s="55">
        <v>1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6">
        <v>36341</v>
      </c>
      <c r="AC47" s="56">
        <v>36376</v>
      </c>
      <c r="AD47" s="57">
        <f t="shared" si="30"/>
        <v>1.1498973305954825</v>
      </c>
      <c r="AE47" s="57">
        <v>0</v>
      </c>
      <c r="AF47" s="57">
        <v>0</v>
      </c>
      <c r="AG47" s="56" t="s">
        <v>389</v>
      </c>
      <c r="AH47" s="53">
        <v>1</v>
      </c>
      <c r="AI47" s="70" t="s">
        <v>320</v>
      </c>
      <c r="AJ47" s="56">
        <v>36372</v>
      </c>
      <c r="AK47" s="57">
        <f t="shared" si="31"/>
        <v>20.172484599589321</v>
      </c>
      <c r="AL47" s="57">
        <f t="shared" si="32"/>
        <v>-0.13141683778234087</v>
      </c>
      <c r="AM47" s="57">
        <f t="shared" si="33"/>
        <v>21.190965092402465</v>
      </c>
      <c r="AN47" s="54">
        <v>2</v>
      </c>
      <c r="AO47" s="54">
        <v>0</v>
      </c>
      <c r="AP47" s="71">
        <v>37020</v>
      </c>
      <c r="AQ47" s="71">
        <v>37036</v>
      </c>
      <c r="AR47" s="72">
        <f t="shared" si="34"/>
        <v>2.2857142857142856</v>
      </c>
      <c r="AS47" s="58">
        <v>10</v>
      </c>
      <c r="AT47" s="58">
        <v>5</v>
      </c>
      <c r="AU47" s="58">
        <f t="shared" si="22"/>
        <v>50</v>
      </c>
      <c r="AV47" s="58">
        <v>1</v>
      </c>
      <c r="AW47" s="52">
        <v>0</v>
      </c>
      <c r="AX47" s="58">
        <v>1</v>
      </c>
      <c r="AY47" s="58">
        <v>0</v>
      </c>
      <c r="AZ47" s="58">
        <v>0</v>
      </c>
      <c r="BA47" s="58">
        <v>0</v>
      </c>
      <c r="BB47" s="58">
        <v>0</v>
      </c>
      <c r="BC47" s="58">
        <v>2</v>
      </c>
      <c r="BD47" s="68">
        <v>1</v>
      </c>
      <c r="BE47" s="73">
        <v>37778</v>
      </c>
      <c r="BF47" s="67">
        <v>37709</v>
      </c>
      <c r="BG47" s="59">
        <v>37778</v>
      </c>
      <c r="BH47" s="59"/>
      <c r="BI47" s="54"/>
      <c r="BJ47" s="53">
        <f t="shared" si="35"/>
        <v>26.020533880903493</v>
      </c>
      <c r="BK47" s="53">
        <f t="shared" si="36"/>
        <v>792</v>
      </c>
      <c r="BL47" s="53">
        <v>0</v>
      </c>
      <c r="BM47" s="59"/>
      <c r="BN47" s="53"/>
      <c r="BO47" s="53">
        <f>(BF47-I47)/365.25*12</f>
        <v>23.753593429158112</v>
      </c>
      <c r="BP47" s="53">
        <f t="shared" si="37"/>
        <v>723</v>
      </c>
      <c r="BQ47" s="53">
        <v>1</v>
      </c>
      <c r="BR47" s="59">
        <v>37468</v>
      </c>
      <c r="BS47" s="57">
        <f>(BR47-I47)*12/365.25</f>
        <v>15.835728952772074</v>
      </c>
      <c r="BT47" s="53">
        <f t="shared" si="11"/>
        <v>482</v>
      </c>
      <c r="BU47" s="53">
        <f>BQ47+BL47</f>
        <v>1</v>
      </c>
      <c r="BV47" s="53">
        <v>0</v>
      </c>
      <c r="BW47" s="53">
        <v>0</v>
      </c>
      <c r="BX47" s="59">
        <f>BR47</f>
        <v>37468</v>
      </c>
      <c r="BY47" s="53">
        <f t="shared" si="40"/>
        <v>15.835728952772074</v>
      </c>
      <c r="BZ47" s="53">
        <f t="shared" si="13"/>
        <v>482</v>
      </c>
      <c r="CA47" s="53">
        <f t="shared" si="41"/>
        <v>1</v>
      </c>
      <c r="CB47" s="59">
        <f t="shared" si="42"/>
        <v>37468</v>
      </c>
      <c r="CC47" s="53">
        <f t="shared" si="42"/>
        <v>15.835728952772074</v>
      </c>
      <c r="CD47" s="53">
        <f t="shared" si="42"/>
        <v>482</v>
      </c>
      <c r="CE47" s="74"/>
      <c r="CF47" s="69"/>
      <c r="CG47" s="53">
        <v>3</v>
      </c>
      <c r="CH47" s="61">
        <f>8.08+30.24</f>
        <v>38.32</v>
      </c>
      <c r="CI47" s="69"/>
      <c r="CJ47" s="69"/>
      <c r="CK47" s="69" t="s">
        <v>38</v>
      </c>
      <c r="CL47" s="69"/>
      <c r="CM47" s="69" t="s">
        <v>408</v>
      </c>
      <c r="CN47" s="59"/>
      <c r="CO47" s="53">
        <v>0</v>
      </c>
      <c r="CP47" s="59"/>
      <c r="CQ47" s="59" t="s">
        <v>408</v>
      </c>
      <c r="CR47" s="69"/>
    </row>
    <row r="48" spans="1:96" s="60" customFormat="1" ht="51">
      <c r="A48" s="95" t="s">
        <v>427</v>
      </c>
      <c r="B48" s="95" t="s">
        <v>454</v>
      </c>
      <c r="C48" s="96">
        <v>4</v>
      </c>
      <c r="D48" s="96">
        <v>46</v>
      </c>
      <c r="E48" s="96">
        <v>8700</v>
      </c>
      <c r="F48" s="97">
        <v>18321</v>
      </c>
      <c r="G48" s="95">
        <v>899098</v>
      </c>
      <c r="H48" s="96" t="s">
        <v>121</v>
      </c>
      <c r="I48" s="98">
        <v>35616</v>
      </c>
      <c r="J48" s="99">
        <f t="shared" si="29"/>
        <v>47.351129363449694</v>
      </c>
      <c r="K48" s="100">
        <v>1</v>
      </c>
      <c r="L48" s="101" t="s">
        <v>49</v>
      </c>
      <c r="M48" s="102" t="s">
        <v>122</v>
      </c>
      <c r="N48" s="100" t="s">
        <v>403</v>
      </c>
      <c r="O48" s="100">
        <v>0</v>
      </c>
      <c r="P48" s="100">
        <v>0</v>
      </c>
      <c r="Q48" s="100">
        <v>1</v>
      </c>
      <c r="R48" s="100">
        <v>0</v>
      </c>
      <c r="S48" s="100">
        <v>0</v>
      </c>
      <c r="T48" s="101" t="s">
        <v>476</v>
      </c>
      <c r="U48" s="103" t="s">
        <v>402</v>
      </c>
      <c r="V48" s="103">
        <v>1</v>
      </c>
      <c r="W48" s="103">
        <v>0</v>
      </c>
      <c r="X48" s="103">
        <v>0</v>
      </c>
      <c r="Y48" s="103">
        <v>0</v>
      </c>
      <c r="Z48" s="103">
        <v>0</v>
      </c>
      <c r="AA48" s="103">
        <v>0</v>
      </c>
      <c r="AB48" s="104">
        <v>35207</v>
      </c>
      <c r="AC48" s="105">
        <v>35592</v>
      </c>
      <c r="AD48" s="106">
        <f t="shared" si="30"/>
        <v>12.648870636550308</v>
      </c>
      <c r="AE48" s="106">
        <v>0</v>
      </c>
      <c r="AF48" s="106">
        <v>0</v>
      </c>
      <c r="AG48" s="105" t="s">
        <v>387</v>
      </c>
      <c r="AH48" s="100">
        <v>1</v>
      </c>
      <c r="AI48" s="107" t="s">
        <v>315</v>
      </c>
      <c r="AJ48" s="105">
        <v>35592</v>
      </c>
      <c r="AK48" s="106">
        <f t="shared" si="31"/>
        <v>0.7885010266940452</v>
      </c>
      <c r="AL48" s="106">
        <f t="shared" si="32"/>
        <v>0</v>
      </c>
      <c r="AM48" s="106">
        <f t="shared" si="33"/>
        <v>13.437371663244353</v>
      </c>
      <c r="AN48" s="102">
        <v>2</v>
      </c>
      <c r="AO48" s="102">
        <v>0</v>
      </c>
      <c r="AP48" s="97">
        <v>35627</v>
      </c>
      <c r="AQ48" s="97">
        <v>35640</v>
      </c>
      <c r="AR48" s="108">
        <f t="shared" si="34"/>
        <v>1.8571428571428572</v>
      </c>
      <c r="AS48" s="109">
        <v>10</v>
      </c>
      <c r="AT48" s="109">
        <v>5</v>
      </c>
      <c r="AU48" s="109">
        <f t="shared" ref="AU48:AU55" si="43">AS48*AT48</f>
        <v>50</v>
      </c>
      <c r="AV48" s="109">
        <v>0</v>
      </c>
      <c r="AW48" s="96">
        <v>0</v>
      </c>
      <c r="AX48" s="109">
        <v>1</v>
      </c>
      <c r="AY48" s="109">
        <v>0</v>
      </c>
      <c r="AZ48" s="109">
        <v>0</v>
      </c>
      <c r="BA48" s="109">
        <v>0</v>
      </c>
      <c r="BB48" s="109">
        <v>0</v>
      </c>
      <c r="BC48" s="109">
        <v>1</v>
      </c>
      <c r="BD48" s="109">
        <v>1</v>
      </c>
      <c r="BE48" s="98">
        <v>35977</v>
      </c>
      <c r="BF48" s="110"/>
      <c r="BG48" s="110">
        <f t="shared" ref="BG48:BG79" si="44">BE48</f>
        <v>35977</v>
      </c>
      <c r="BH48" s="110"/>
      <c r="BI48" s="102" t="s">
        <v>82</v>
      </c>
      <c r="BJ48" s="100">
        <f t="shared" si="35"/>
        <v>11.860369609856264</v>
      </c>
      <c r="BK48" s="100">
        <f t="shared" si="36"/>
        <v>361</v>
      </c>
      <c r="BL48" s="100">
        <v>0</v>
      </c>
      <c r="BM48" s="110"/>
      <c r="BN48" s="100"/>
      <c r="BO48" s="100">
        <f>BJ48</f>
        <v>11.860369609856264</v>
      </c>
      <c r="BP48" s="100">
        <f t="shared" si="37"/>
        <v>361</v>
      </c>
      <c r="BQ48" s="100">
        <v>1</v>
      </c>
      <c r="BR48" s="110">
        <v>35764</v>
      </c>
      <c r="BS48" s="106">
        <f>(BR48-I48)*12/365.25</f>
        <v>4.862422997946612</v>
      </c>
      <c r="BT48" s="100">
        <f t="shared" si="11"/>
        <v>148</v>
      </c>
      <c r="BU48" s="100">
        <f>BQ48+BL48</f>
        <v>1</v>
      </c>
      <c r="BV48" s="100"/>
      <c r="BW48" s="100"/>
      <c r="BX48" s="110">
        <f>BR48</f>
        <v>35764</v>
      </c>
      <c r="BY48" s="100">
        <f t="shared" si="40"/>
        <v>4.862422997946612</v>
      </c>
      <c r="BZ48" s="100">
        <f t="shared" si="13"/>
        <v>148</v>
      </c>
      <c r="CA48" s="100">
        <f t="shared" si="41"/>
        <v>1</v>
      </c>
      <c r="CB48" s="110">
        <f t="shared" si="42"/>
        <v>35764</v>
      </c>
      <c r="CC48" s="100">
        <f t="shared" si="42"/>
        <v>4.862422997946612</v>
      </c>
      <c r="CD48" s="100">
        <f t="shared" si="42"/>
        <v>148</v>
      </c>
      <c r="CE48" s="102"/>
      <c r="CF48" s="111"/>
      <c r="CG48" s="100">
        <v>3</v>
      </c>
      <c r="CH48" s="112">
        <v>35</v>
      </c>
      <c r="CI48" s="111" t="s">
        <v>487</v>
      </c>
      <c r="CJ48" s="111"/>
      <c r="CK48" s="109" t="s">
        <v>364</v>
      </c>
      <c r="CL48" s="109"/>
      <c r="CM48" s="109" t="s">
        <v>408</v>
      </c>
      <c r="CN48" s="110"/>
      <c r="CO48" s="100">
        <v>0</v>
      </c>
      <c r="CP48" s="110"/>
      <c r="CQ48" s="110" t="s">
        <v>408</v>
      </c>
      <c r="CR48" s="111"/>
    </row>
    <row r="49" spans="1:96" ht="25.5">
      <c r="A49" s="95" t="s">
        <v>429</v>
      </c>
      <c r="B49" s="95" t="s">
        <v>456</v>
      </c>
      <c r="C49" s="96">
        <v>6</v>
      </c>
      <c r="D49" s="96">
        <v>47</v>
      </c>
      <c r="E49" s="96">
        <v>8700</v>
      </c>
      <c r="F49" s="97">
        <v>13554</v>
      </c>
      <c r="G49" s="95">
        <v>2075816</v>
      </c>
      <c r="H49" s="96" t="s">
        <v>121</v>
      </c>
      <c r="I49" s="98">
        <v>35928</v>
      </c>
      <c r="J49" s="99">
        <f t="shared" si="29"/>
        <v>61.256673511293634</v>
      </c>
      <c r="K49" s="100">
        <v>1</v>
      </c>
      <c r="L49" s="114" t="s">
        <v>49</v>
      </c>
      <c r="M49" s="102" t="s">
        <v>122</v>
      </c>
      <c r="N49" s="100" t="s">
        <v>403</v>
      </c>
      <c r="O49" s="100">
        <v>0</v>
      </c>
      <c r="P49" s="100">
        <v>0</v>
      </c>
      <c r="Q49" s="100">
        <v>1</v>
      </c>
      <c r="R49" s="100">
        <v>0</v>
      </c>
      <c r="S49" s="100">
        <v>0</v>
      </c>
      <c r="T49" s="101" t="s">
        <v>475</v>
      </c>
      <c r="U49" s="103" t="s">
        <v>402</v>
      </c>
      <c r="V49" s="103">
        <v>1</v>
      </c>
      <c r="W49" s="103">
        <v>0</v>
      </c>
      <c r="X49" s="103">
        <v>0</v>
      </c>
      <c r="Y49" s="103">
        <v>0</v>
      </c>
      <c r="Z49" s="103">
        <v>0</v>
      </c>
      <c r="AA49" s="103">
        <v>0</v>
      </c>
      <c r="AB49" s="104">
        <v>33983</v>
      </c>
      <c r="AC49" s="105">
        <v>35564</v>
      </c>
      <c r="AD49" s="106">
        <f t="shared" si="30"/>
        <v>51.942505133470235</v>
      </c>
      <c r="AE49" s="106">
        <v>0</v>
      </c>
      <c r="AF49" s="106">
        <v>1</v>
      </c>
      <c r="AG49" s="105" t="s">
        <v>387</v>
      </c>
      <c r="AH49" s="100">
        <v>1</v>
      </c>
      <c r="AI49" s="101" t="s">
        <v>315</v>
      </c>
      <c r="AJ49" s="105">
        <v>35564</v>
      </c>
      <c r="AK49" s="106">
        <f t="shared" si="31"/>
        <v>11.958932238193018</v>
      </c>
      <c r="AL49" s="106">
        <f t="shared" si="32"/>
        <v>0</v>
      </c>
      <c r="AM49" s="106">
        <f t="shared" si="33"/>
        <v>63.901437371663242</v>
      </c>
      <c r="AN49" s="102">
        <v>3</v>
      </c>
      <c r="AO49" s="102">
        <v>0</v>
      </c>
      <c r="AP49" s="97">
        <v>35937</v>
      </c>
      <c r="AQ49" s="97">
        <v>35951</v>
      </c>
      <c r="AR49" s="108">
        <f t="shared" si="34"/>
        <v>2</v>
      </c>
      <c r="AS49" s="109">
        <v>10</v>
      </c>
      <c r="AT49" s="109">
        <v>3.7</v>
      </c>
      <c r="AU49" s="109">
        <f t="shared" si="43"/>
        <v>37</v>
      </c>
      <c r="AV49" s="109">
        <v>0</v>
      </c>
      <c r="AW49" s="96">
        <v>0</v>
      </c>
      <c r="AX49" s="109">
        <v>1</v>
      </c>
      <c r="AY49" s="109">
        <v>0</v>
      </c>
      <c r="AZ49" s="109">
        <v>0</v>
      </c>
      <c r="BA49" s="109">
        <v>0</v>
      </c>
      <c r="BB49" s="109">
        <v>1</v>
      </c>
      <c r="BC49" s="109">
        <v>1</v>
      </c>
      <c r="BD49" s="109">
        <v>1</v>
      </c>
      <c r="BE49" s="98">
        <v>36129</v>
      </c>
      <c r="BF49" s="110"/>
      <c r="BG49" s="110">
        <f t="shared" si="44"/>
        <v>36129</v>
      </c>
      <c r="BH49" s="110"/>
      <c r="BI49" s="102" t="s">
        <v>82</v>
      </c>
      <c r="BJ49" s="100">
        <f t="shared" si="35"/>
        <v>6.6036960985626294</v>
      </c>
      <c r="BK49" s="100">
        <f t="shared" si="36"/>
        <v>201.00000000000003</v>
      </c>
      <c r="BL49" s="100">
        <v>0</v>
      </c>
      <c r="BM49" s="110"/>
      <c r="BN49" s="100"/>
      <c r="BO49" s="100">
        <f>BJ49</f>
        <v>6.6036960985626294</v>
      </c>
      <c r="BP49" s="100">
        <f t="shared" si="37"/>
        <v>201.00000000000003</v>
      </c>
      <c r="BQ49" s="100">
        <v>1</v>
      </c>
      <c r="BR49" s="110">
        <v>36113</v>
      </c>
      <c r="BS49" s="106">
        <f>(BR49-I49)*12/365.25</f>
        <v>6.0780287474332653</v>
      </c>
      <c r="BT49" s="100">
        <f t="shared" si="11"/>
        <v>185</v>
      </c>
      <c r="BU49" s="100">
        <f>BQ49+BL49</f>
        <v>1</v>
      </c>
      <c r="BV49" s="100"/>
      <c r="BW49" s="100"/>
      <c r="BX49" s="110">
        <f>BR49</f>
        <v>36113</v>
      </c>
      <c r="BY49" s="100">
        <f t="shared" si="40"/>
        <v>6.0780287474332653</v>
      </c>
      <c r="BZ49" s="100">
        <f t="shared" si="13"/>
        <v>185</v>
      </c>
      <c r="CA49" s="100">
        <f t="shared" si="41"/>
        <v>1</v>
      </c>
      <c r="CB49" s="110">
        <f t="shared" si="42"/>
        <v>36113</v>
      </c>
      <c r="CC49" s="100">
        <f t="shared" si="42"/>
        <v>6.0780287474332653</v>
      </c>
      <c r="CD49" s="100">
        <f t="shared" si="42"/>
        <v>185</v>
      </c>
      <c r="CE49" s="102"/>
      <c r="CF49" s="111"/>
      <c r="CG49" s="100">
        <v>4</v>
      </c>
      <c r="CH49" s="112">
        <f>44+13+2</f>
        <v>59</v>
      </c>
      <c r="CI49" s="111"/>
      <c r="CJ49" s="111"/>
      <c r="CK49" s="109">
        <v>0</v>
      </c>
      <c r="CL49" s="109"/>
      <c r="CM49" s="109" t="s">
        <v>408</v>
      </c>
      <c r="CN49" s="110"/>
      <c r="CO49" s="100">
        <v>0</v>
      </c>
      <c r="CP49" s="110"/>
      <c r="CQ49" s="110" t="s">
        <v>408</v>
      </c>
      <c r="CR49" s="111"/>
    </row>
    <row r="50" spans="1:96" ht="25.5">
      <c r="A50" s="95" t="s">
        <v>430</v>
      </c>
      <c r="B50" s="95" t="s">
        <v>197</v>
      </c>
      <c r="C50" s="96">
        <v>7</v>
      </c>
      <c r="D50" s="96">
        <v>48</v>
      </c>
      <c r="E50" s="96">
        <v>8700</v>
      </c>
      <c r="F50" s="97">
        <v>18644</v>
      </c>
      <c r="G50" s="95">
        <v>2067286</v>
      </c>
      <c r="H50" s="96" t="s">
        <v>121</v>
      </c>
      <c r="I50" s="98">
        <v>35936</v>
      </c>
      <c r="J50" s="99">
        <f t="shared" si="29"/>
        <v>47.342915811088297</v>
      </c>
      <c r="K50" s="100">
        <v>1</v>
      </c>
      <c r="L50" s="114" t="s">
        <v>49</v>
      </c>
      <c r="M50" s="102" t="s">
        <v>122</v>
      </c>
      <c r="N50" s="100" t="s">
        <v>403</v>
      </c>
      <c r="O50" s="100">
        <v>0</v>
      </c>
      <c r="P50" s="100">
        <v>0</v>
      </c>
      <c r="Q50" s="100">
        <v>1</v>
      </c>
      <c r="R50" s="100">
        <v>0</v>
      </c>
      <c r="S50" s="100">
        <v>0</v>
      </c>
      <c r="T50" s="101" t="s">
        <v>475</v>
      </c>
      <c r="U50" s="103" t="s">
        <v>402</v>
      </c>
      <c r="V50" s="103">
        <v>1</v>
      </c>
      <c r="W50" s="103">
        <v>0</v>
      </c>
      <c r="X50" s="103">
        <v>0</v>
      </c>
      <c r="Y50" s="103">
        <v>0</v>
      </c>
      <c r="Z50" s="103">
        <v>0</v>
      </c>
      <c r="AA50" s="103">
        <v>0</v>
      </c>
      <c r="AB50" s="104">
        <v>35237</v>
      </c>
      <c r="AC50" s="105">
        <v>35595</v>
      </c>
      <c r="AD50" s="106">
        <f t="shared" si="30"/>
        <v>11.761806981519507</v>
      </c>
      <c r="AE50" s="106">
        <v>0</v>
      </c>
      <c r="AF50" s="106">
        <v>0</v>
      </c>
      <c r="AG50" s="105" t="s">
        <v>387</v>
      </c>
      <c r="AH50" s="100">
        <v>1</v>
      </c>
      <c r="AI50" s="101" t="s">
        <v>327</v>
      </c>
      <c r="AJ50" s="105">
        <v>35595</v>
      </c>
      <c r="AK50" s="106">
        <f t="shared" si="31"/>
        <v>11.203285420944558</v>
      </c>
      <c r="AL50" s="106">
        <f t="shared" si="32"/>
        <v>0</v>
      </c>
      <c r="AM50" s="106">
        <f t="shared" si="33"/>
        <v>22.965092402464066</v>
      </c>
      <c r="AN50" s="102">
        <v>2</v>
      </c>
      <c r="AO50" s="102">
        <v>0</v>
      </c>
      <c r="AP50" s="97">
        <v>35949</v>
      </c>
      <c r="AQ50" s="97">
        <v>35962</v>
      </c>
      <c r="AR50" s="108">
        <f t="shared" si="34"/>
        <v>1.8571428571428572</v>
      </c>
      <c r="AS50" s="109">
        <v>10</v>
      </c>
      <c r="AT50" s="109">
        <v>5</v>
      </c>
      <c r="AU50" s="109">
        <f t="shared" si="43"/>
        <v>50</v>
      </c>
      <c r="AV50" s="109">
        <v>1</v>
      </c>
      <c r="AW50" s="96">
        <v>0</v>
      </c>
      <c r="AX50" s="109">
        <v>0</v>
      </c>
      <c r="AY50" s="109">
        <v>0</v>
      </c>
      <c r="AZ50" s="109">
        <v>0</v>
      </c>
      <c r="BA50" s="109">
        <v>0</v>
      </c>
      <c r="BB50" s="109">
        <v>0</v>
      </c>
      <c r="BC50" s="109">
        <v>1</v>
      </c>
      <c r="BD50" s="109">
        <v>1</v>
      </c>
      <c r="BE50" s="98">
        <v>36427</v>
      </c>
      <c r="BF50" s="110"/>
      <c r="BG50" s="110">
        <f t="shared" si="44"/>
        <v>36427</v>
      </c>
      <c r="BH50" s="110"/>
      <c r="BI50" s="102" t="s">
        <v>383</v>
      </c>
      <c r="BJ50" s="100">
        <f t="shared" si="35"/>
        <v>16.131416837782339</v>
      </c>
      <c r="BK50" s="100">
        <f t="shared" si="36"/>
        <v>490.99999999999994</v>
      </c>
      <c r="BL50" s="100">
        <v>0</v>
      </c>
      <c r="BM50" s="110"/>
      <c r="BN50" s="100"/>
      <c r="BO50" s="100">
        <f>BJ50</f>
        <v>16.131416837782339</v>
      </c>
      <c r="BP50" s="100">
        <f t="shared" si="37"/>
        <v>490.99999999999994</v>
      </c>
      <c r="BQ50" s="100"/>
      <c r="BR50" s="110" t="s">
        <v>400</v>
      </c>
      <c r="BS50" s="106"/>
      <c r="BT50" s="100"/>
      <c r="BU50" s="100"/>
      <c r="BV50" s="100"/>
      <c r="BW50" s="100"/>
      <c r="BX50" s="110" t="s">
        <v>400</v>
      </c>
      <c r="BY50" s="100"/>
      <c r="BZ50" s="100"/>
      <c r="CA50" s="100">
        <f t="shared" si="41"/>
        <v>0</v>
      </c>
      <c r="CB50" s="110"/>
      <c r="CC50" s="100">
        <f>BY50</f>
        <v>0</v>
      </c>
      <c r="CD50" s="100">
        <f>BZ50</f>
        <v>0</v>
      </c>
      <c r="CE50" s="102"/>
      <c r="CF50" s="111"/>
      <c r="CG50" s="100">
        <v>1</v>
      </c>
      <c r="CH50" s="112">
        <f>0.29+0.08+2</f>
        <v>2.37</v>
      </c>
      <c r="CI50" s="111"/>
      <c r="CJ50" s="111"/>
      <c r="CK50" s="109" t="s">
        <v>363</v>
      </c>
      <c r="CL50" s="109"/>
      <c r="CM50" s="109" t="s">
        <v>408</v>
      </c>
      <c r="CN50" s="110">
        <v>36165</v>
      </c>
      <c r="CO50" s="100">
        <v>1</v>
      </c>
      <c r="CP50" s="100">
        <f>(CN50-AP50)*12/365.25</f>
        <v>7.0965092402464069</v>
      </c>
      <c r="CQ50" s="100" t="s">
        <v>389</v>
      </c>
      <c r="CR50" s="111"/>
    </row>
    <row r="51" spans="1:96" ht="25.5">
      <c r="A51" s="95" t="s">
        <v>431</v>
      </c>
      <c r="B51" s="95" t="s">
        <v>536</v>
      </c>
      <c r="C51" s="96">
        <v>10</v>
      </c>
      <c r="D51" s="96">
        <v>49</v>
      </c>
      <c r="E51" s="96">
        <v>8700</v>
      </c>
      <c r="F51" s="97">
        <v>12241</v>
      </c>
      <c r="G51" s="95">
        <v>2186522</v>
      </c>
      <c r="H51" s="96" t="s">
        <v>121</v>
      </c>
      <c r="I51" s="98">
        <v>36489</v>
      </c>
      <c r="J51" s="99">
        <f t="shared" si="29"/>
        <v>66.387405886379199</v>
      </c>
      <c r="K51" s="100">
        <v>1</v>
      </c>
      <c r="L51" s="114" t="s">
        <v>49</v>
      </c>
      <c r="M51" s="102" t="s">
        <v>122</v>
      </c>
      <c r="N51" s="100" t="s">
        <v>403</v>
      </c>
      <c r="O51" s="100">
        <v>0</v>
      </c>
      <c r="P51" s="100">
        <v>0</v>
      </c>
      <c r="Q51" s="100">
        <v>1</v>
      </c>
      <c r="R51" s="100">
        <v>0</v>
      </c>
      <c r="S51" s="100">
        <v>0</v>
      </c>
      <c r="T51" s="101" t="s">
        <v>475</v>
      </c>
      <c r="U51" s="103" t="s">
        <v>402</v>
      </c>
      <c r="V51" s="103">
        <v>1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4">
        <v>35193</v>
      </c>
      <c r="AC51" s="105">
        <v>36355</v>
      </c>
      <c r="AD51" s="106">
        <f t="shared" si="30"/>
        <v>38.176591375770016</v>
      </c>
      <c r="AE51" s="106">
        <v>1</v>
      </c>
      <c r="AF51" s="106">
        <v>0</v>
      </c>
      <c r="AG51" s="105" t="s">
        <v>387</v>
      </c>
      <c r="AH51" s="100">
        <v>1</v>
      </c>
      <c r="AI51" s="101" t="s">
        <v>349</v>
      </c>
      <c r="AJ51" s="105">
        <v>36361</v>
      </c>
      <c r="AK51" s="106">
        <f t="shared" si="31"/>
        <v>4.2053388090349078</v>
      </c>
      <c r="AL51" s="106">
        <f t="shared" si="32"/>
        <v>0.1971252566735113</v>
      </c>
      <c r="AM51" s="106">
        <f t="shared" si="33"/>
        <v>42.579055441478438</v>
      </c>
      <c r="AN51" s="102">
        <v>2</v>
      </c>
      <c r="AO51" s="102">
        <v>0</v>
      </c>
      <c r="AP51" s="97">
        <v>36495</v>
      </c>
      <c r="AQ51" s="97">
        <v>36508</v>
      </c>
      <c r="AR51" s="108">
        <f t="shared" si="34"/>
        <v>1.8571428571428572</v>
      </c>
      <c r="AS51" s="109">
        <v>10</v>
      </c>
      <c r="AT51" s="109">
        <v>3.5</v>
      </c>
      <c r="AU51" s="109">
        <f t="shared" si="43"/>
        <v>35</v>
      </c>
      <c r="AV51" s="109">
        <v>0</v>
      </c>
      <c r="AW51" s="96">
        <v>1</v>
      </c>
      <c r="AX51" s="109">
        <v>0</v>
      </c>
      <c r="AY51" s="109">
        <v>0</v>
      </c>
      <c r="AZ51" s="109">
        <v>0</v>
      </c>
      <c r="BA51" s="109">
        <v>0</v>
      </c>
      <c r="BB51" s="109">
        <v>0</v>
      </c>
      <c r="BC51" s="109">
        <v>1</v>
      </c>
      <c r="BD51" s="109">
        <v>1</v>
      </c>
      <c r="BE51" s="98">
        <v>37029</v>
      </c>
      <c r="BF51" s="110"/>
      <c r="BG51" s="110">
        <f t="shared" si="44"/>
        <v>37029</v>
      </c>
      <c r="BH51" s="110"/>
      <c r="BI51" s="102"/>
      <c r="BJ51" s="100">
        <f t="shared" si="35"/>
        <v>17.741273100616016</v>
      </c>
      <c r="BK51" s="100">
        <f t="shared" si="36"/>
        <v>540</v>
      </c>
      <c r="BL51" s="100">
        <v>0</v>
      </c>
      <c r="BM51" s="110"/>
      <c r="BN51" s="100"/>
      <c r="BO51" s="100">
        <f>BJ51</f>
        <v>17.741273100616016</v>
      </c>
      <c r="BP51" s="100">
        <f t="shared" si="37"/>
        <v>540</v>
      </c>
      <c r="BQ51" s="100">
        <v>1</v>
      </c>
      <c r="BR51" s="110">
        <v>36571</v>
      </c>
      <c r="BS51" s="106">
        <f>(BR51-I51)*12/365.25</f>
        <v>2.6940451745379876</v>
      </c>
      <c r="BT51" s="100">
        <f t="shared" ref="BT51:BT64" si="45">BS51*365.25/12</f>
        <v>82</v>
      </c>
      <c r="BU51" s="100">
        <f>BQ51+BL51</f>
        <v>1</v>
      </c>
      <c r="BV51" s="100"/>
      <c r="BW51" s="100"/>
      <c r="BX51" s="110">
        <f>BR51</f>
        <v>36571</v>
      </c>
      <c r="BY51" s="100">
        <f t="shared" ref="BY51:BY71" si="46">(BX51-I51)*12/365.25</f>
        <v>2.6940451745379876</v>
      </c>
      <c r="BZ51" s="100">
        <f t="shared" ref="BZ51:BZ82" si="47">BY51*365.25/12</f>
        <v>82</v>
      </c>
      <c r="CA51" s="100">
        <f t="shared" si="41"/>
        <v>1</v>
      </c>
      <c r="CB51" s="110">
        <f>BX51</f>
        <v>36571</v>
      </c>
      <c r="CC51" s="100">
        <f>BY51</f>
        <v>2.6940451745379876</v>
      </c>
      <c r="CD51" s="100">
        <f>BZ51</f>
        <v>82</v>
      </c>
      <c r="CE51" s="102"/>
      <c r="CF51" s="111"/>
      <c r="CG51" s="100">
        <v>2</v>
      </c>
      <c r="CH51" s="115">
        <f>17.44</f>
        <v>17.440000000000001</v>
      </c>
      <c r="CI51" s="111"/>
      <c r="CJ51" s="111"/>
      <c r="CK51" s="109" t="s">
        <v>486</v>
      </c>
      <c r="CL51" s="109"/>
      <c r="CM51" s="109" t="s">
        <v>408</v>
      </c>
      <c r="CN51" s="110"/>
      <c r="CO51" s="100">
        <v>0</v>
      </c>
      <c r="CP51" s="110"/>
      <c r="CQ51" s="110" t="s">
        <v>408</v>
      </c>
      <c r="CR51" s="111"/>
    </row>
    <row r="52" spans="1:96" ht="25.5">
      <c r="A52" s="95" t="s">
        <v>432</v>
      </c>
      <c r="B52" s="95" t="s">
        <v>457</v>
      </c>
      <c r="C52" s="96">
        <v>11</v>
      </c>
      <c r="D52" s="96">
        <v>50</v>
      </c>
      <c r="E52" s="96">
        <v>8700</v>
      </c>
      <c r="F52" s="97">
        <v>19808</v>
      </c>
      <c r="G52" s="95">
        <v>2196214</v>
      </c>
      <c r="H52" s="96" t="s">
        <v>121</v>
      </c>
      <c r="I52" s="98">
        <v>36539</v>
      </c>
      <c r="J52" s="99">
        <f t="shared" si="29"/>
        <v>45.80698151950719</v>
      </c>
      <c r="K52" s="100">
        <v>1</v>
      </c>
      <c r="L52" s="114" t="s">
        <v>34</v>
      </c>
      <c r="M52" s="102" t="s">
        <v>122</v>
      </c>
      <c r="N52" s="100" t="s">
        <v>403</v>
      </c>
      <c r="O52" s="100">
        <v>0</v>
      </c>
      <c r="P52" s="100">
        <v>0</v>
      </c>
      <c r="Q52" s="100">
        <v>1</v>
      </c>
      <c r="R52" s="100">
        <v>0</v>
      </c>
      <c r="S52" s="100">
        <v>0</v>
      </c>
      <c r="T52" s="101" t="s">
        <v>475</v>
      </c>
      <c r="U52" s="103" t="s">
        <v>402</v>
      </c>
      <c r="V52" s="103">
        <v>1</v>
      </c>
      <c r="W52" s="103">
        <v>0</v>
      </c>
      <c r="X52" s="103">
        <v>0</v>
      </c>
      <c r="Y52" s="103">
        <v>0</v>
      </c>
      <c r="Z52" s="103">
        <v>0</v>
      </c>
      <c r="AA52" s="103">
        <v>0</v>
      </c>
      <c r="AB52" s="104">
        <v>33697</v>
      </c>
      <c r="AC52" s="105">
        <v>35960</v>
      </c>
      <c r="AD52" s="106">
        <f t="shared" si="30"/>
        <v>74.349075975359341</v>
      </c>
      <c r="AE52" s="106">
        <v>0</v>
      </c>
      <c r="AF52" s="106">
        <v>0</v>
      </c>
      <c r="AG52" s="105" t="s">
        <v>387</v>
      </c>
      <c r="AH52" s="100">
        <v>1</v>
      </c>
      <c r="AI52" s="101" t="s">
        <v>481</v>
      </c>
      <c r="AJ52" s="105">
        <v>35960</v>
      </c>
      <c r="AK52" s="106">
        <f t="shared" si="31"/>
        <v>19.022587268993838</v>
      </c>
      <c r="AL52" s="106">
        <f t="shared" si="32"/>
        <v>0</v>
      </c>
      <c r="AM52" s="106">
        <f t="shared" si="33"/>
        <v>93.371663244353186</v>
      </c>
      <c r="AN52" s="102">
        <v>1</v>
      </c>
      <c r="AO52" s="102">
        <v>1</v>
      </c>
      <c r="AP52" s="97">
        <v>36551</v>
      </c>
      <c r="AQ52" s="97">
        <v>36566</v>
      </c>
      <c r="AR52" s="108">
        <f t="shared" si="34"/>
        <v>2.1428571428571428</v>
      </c>
      <c r="AS52" s="109">
        <v>12</v>
      </c>
      <c r="AT52" s="109">
        <v>3.5</v>
      </c>
      <c r="AU52" s="109">
        <f t="shared" si="43"/>
        <v>42</v>
      </c>
      <c r="AV52" s="109">
        <v>0</v>
      </c>
      <c r="AW52" s="96">
        <v>1</v>
      </c>
      <c r="AX52" s="109">
        <v>0</v>
      </c>
      <c r="AY52" s="109">
        <v>0</v>
      </c>
      <c r="AZ52" s="109">
        <v>0</v>
      </c>
      <c r="BA52" s="109">
        <v>0</v>
      </c>
      <c r="BB52" s="109">
        <v>0</v>
      </c>
      <c r="BC52" s="109">
        <v>1</v>
      </c>
      <c r="BD52" s="109">
        <v>1</v>
      </c>
      <c r="BE52" s="98">
        <v>37496</v>
      </c>
      <c r="BF52" s="110"/>
      <c r="BG52" s="110">
        <f t="shared" si="44"/>
        <v>37496</v>
      </c>
      <c r="BH52" s="110"/>
      <c r="BI52" s="102" t="s">
        <v>82</v>
      </c>
      <c r="BJ52" s="100">
        <f t="shared" si="35"/>
        <v>31.441478439425051</v>
      </c>
      <c r="BK52" s="100">
        <f t="shared" si="36"/>
        <v>957</v>
      </c>
      <c r="BL52" s="100">
        <v>1</v>
      </c>
      <c r="BM52" s="110">
        <v>36858</v>
      </c>
      <c r="BN52" s="100">
        <f t="shared" ref="BN52:BN60" si="48">(BM52-AQ52)*12/365.25</f>
        <v>9.593429158110883</v>
      </c>
      <c r="BO52" s="100">
        <f t="shared" ref="BO52:BO60" si="49">(BM52-I52)*12/365.25</f>
        <v>10.480492813141684</v>
      </c>
      <c r="BP52" s="100">
        <f t="shared" si="37"/>
        <v>319</v>
      </c>
      <c r="BQ52" s="100">
        <v>1</v>
      </c>
      <c r="BR52" s="110">
        <v>37256</v>
      </c>
      <c r="BS52" s="106">
        <f>(BR52-I52)*12/365.25</f>
        <v>23.5564681724846</v>
      </c>
      <c r="BT52" s="100">
        <f t="shared" si="45"/>
        <v>717</v>
      </c>
      <c r="BU52" s="100">
        <v>1</v>
      </c>
      <c r="BV52" s="100"/>
      <c r="BW52" s="100"/>
      <c r="BX52" s="110">
        <f>BR52</f>
        <v>37256</v>
      </c>
      <c r="BY52" s="100">
        <f t="shared" si="46"/>
        <v>23.5564681724846</v>
      </c>
      <c r="BZ52" s="100">
        <f t="shared" si="47"/>
        <v>717</v>
      </c>
      <c r="CA52" s="116">
        <f t="shared" si="41"/>
        <v>1</v>
      </c>
      <c r="CB52" s="117">
        <v>36995</v>
      </c>
      <c r="CC52" s="116">
        <f>(CB52-I52)*12/365.25</f>
        <v>14.981519507186858</v>
      </c>
      <c r="CD52" s="116">
        <f>CC52*365.25/12</f>
        <v>456</v>
      </c>
      <c r="CE52" s="102"/>
      <c r="CF52" s="111"/>
      <c r="CG52" s="100">
        <v>4</v>
      </c>
      <c r="CH52" s="115">
        <v>63.55</v>
      </c>
      <c r="CI52" s="111"/>
      <c r="CJ52" s="111"/>
      <c r="CK52" s="109" t="s">
        <v>363</v>
      </c>
      <c r="CL52" s="109"/>
      <c r="CM52" s="109" t="s">
        <v>389</v>
      </c>
      <c r="CN52" s="110">
        <v>36858</v>
      </c>
      <c r="CO52" s="100">
        <v>1</v>
      </c>
      <c r="CP52" s="100">
        <f>(CN52-AP52)*12/365.25</f>
        <v>10.086242299794661</v>
      </c>
      <c r="CQ52" s="100" t="s">
        <v>389</v>
      </c>
      <c r="CR52" s="111"/>
    </row>
    <row r="53" spans="1:96" s="113" customFormat="1" ht="38.25">
      <c r="A53" s="95" t="s">
        <v>433</v>
      </c>
      <c r="B53" s="95" t="s">
        <v>458</v>
      </c>
      <c r="C53" s="96">
        <v>12</v>
      </c>
      <c r="D53" s="96">
        <v>51</v>
      </c>
      <c r="E53" s="96">
        <v>8700</v>
      </c>
      <c r="F53" s="97">
        <v>14735</v>
      </c>
      <c r="G53" s="95">
        <v>1247219</v>
      </c>
      <c r="H53" s="96" t="s">
        <v>121</v>
      </c>
      <c r="I53" s="98">
        <v>36649</v>
      </c>
      <c r="J53" s="99">
        <f t="shared" si="29"/>
        <v>59.997262149212865</v>
      </c>
      <c r="K53" s="100">
        <v>1</v>
      </c>
      <c r="L53" s="114" t="s">
        <v>49</v>
      </c>
      <c r="M53" s="102" t="s">
        <v>122</v>
      </c>
      <c r="N53" s="100" t="s">
        <v>403</v>
      </c>
      <c r="O53" s="100">
        <v>0</v>
      </c>
      <c r="P53" s="100">
        <v>0</v>
      </c>
      <c r="Q53" s="100">
        <v>1</v>
      </c>
      <c r="R53" s="100">
        <v>0</v>
      </c>
      <c r="S53" s="100">
        <v>0</v>
      </c>
      <c r="T53" s="101" t="s">
        <v>475</v>
      </c>
      <c r="U53" s="103" t="s">
        <v>402</v>
      </c>
      <c r="V53" s="103">
        <v>1</v>
      </c>
      <c r="W53" s="103">
        <v>0</v>
      </c>
      <c r="X53" s="103">
        <v>0</v>
      </c>
      <c r="Y53" s="103">
        <v>0</v>
      </c>
      <c r="Z53" s="103">
        <v>0</v>
      </c>
      <c r="AA53" s="103">
        <v>0</v>
      </c>
      <c r="AB53" s="104">
        <v>33654</v>
      </c>
      <c r="AC53" s="105">
        <v>36447</v>
      </c>
      <c r="AD53" s="106">
        <f t="shared" si="30"/>
        <v>91.761806981519499</v>
      </c>
      <c r="AE53" s="106">
        <v>0</v>
      </c>
      <c r="AF53" s="106">
        <v>0</v>
      </c>
      <c r="AG53" s="105" t="s">
        <v>387</v>
      </c>
      <c r="AH53" s="100">
        <v>1</v>
      </c>
      <c r="AI53" s="101" t="s">
        <v>271</v>
      </c>
      <c r="AJ53" s="105">
        <v>36447</v>
      </c>
      <c r="AK53" s="106">
        <f t="shared" si="31"/>
        <v>6.6365503080082133</v>
      </c>
      <c r="AL53" s="106">
        <f t="shared" si="32"/>
        <v>0</v>
      </c>
      <c r="AM53" s="106">
        <f t="shared" si="33"/>
        <v>98.398357289527723</v>
      </c>
      <c r="AN53" s="102">
        <v>2</v>
      </c>
      <c r="AO53" s="102">
        <v>0</v>
      </c>
      <c r="AP53" s="97">
        <v>36678</v>
      </c>
      <c r="AQ53" s="97">
        <v>36692</v>
      </c>
      <c r="AR53" s="108">
        <f t="shared" si="34"/>
        <v>2</v>
      </c>
      <c r="AS53" s="109">
        <v>10</v>
      </c>
      <c r="AT53" s="109">
        <v>5</v>
      </c>
      <c r="AU53" s="109">
        <f t="shared" si="43"/>
        <v>50</v>
      </c>
      <c r="AV53" s="109">
        <v>1</v>
      </c>
      <c r="AW53" s="96">
        <v>1</v>
      </c>
      <c r="AX53" s="109">
        <v>0</v>
      </c>
      <c r="AY53" s="109">
        <v>0</v>
      </c>
      <c r="AZ53" s="109">
        <v>0</v>
      </c>
      <c r="BA53" s="109">
        <v>0</v>
      </c>
      <c r="BB53" s="109">
        <v>0</v>
      </c>
      <c r="BC53" s="109">
        <v>2</v>
      </c>
      <c r="BD53" s="109">
        <v>1</v>
      </c>
      <c r="BE53" s="98">
        <v>37574</v>
      </c>
      <c r="BF53" s="110"/>
      <c r="BG53" s="110">
        <f t="shared" si="44"/>
        <v>37574</v>
      </c>
      <c r="BH53" s="110"/>
      <c r="BI53" s="102" t="s">
        <v>82</v>
      </c>
      <c r="BJ53" s="100">
        <f t="shared" si="35"/>
        <v>30.390143737166326</v>
      </c>
      <c r="BK53" s="100">
        <f t="shared" si="36"/>
        <v>925</v>
      </c>
      <c r="BL53" s="100">
        <v>1</v>
      </c>
      <c r="BM53" s="110">
        <v>37071</v>
      </c>
      <c r="BN53" s="100">
        <f t="shared" si="48"/>
        <v>12.451745379876797</v>
      </c>
      <c r="BO53" s="100">
        <f t="shared" si="49"/>
        <v>13.86447638603696</v>
      </c>
      <c r="BP53" s="100">
        <f t="shared" si="37"/>
        <v>422</v>
      </c>
      <c r="BQ53" s="100">
        <v>1</v>
      </c>
      <c r="BR53" s="110">
        <v>37072</v>
      </c>
      <c r="BS53" s="106">
        <f>(BR53-I53)*12/365.25</f>
        <v>13.897330595482547</v>
      </c>
      <c r="BT53" s="100">
        <f t="shared" si="45"/>
        <v>423</v>
      </c>
      <c r="BU53" s="100">
        <v>1</v>
      </c>
      <c r="BV53" s="100"/>
      <c r="BW53" s="100"/>
      <c r="BX53" s="110">
        <f>BR53</f>
        <v>37072</v>
      </c>
      <c r="BY53" s="100">
        <f t="shared" si="46"/>
        <v>13.897330595482547</v>
      </c>
      <c r="BZ53" s="100">
        <f t="shared" si="47"/>
        <v>423</v>
      </c>
      <c r="CA53" s="100">
        <f t="shared" si="41"/>
        <v>1</v>
      </c>
      <c r="CB53" s="110">
        <f>BX53</f>
        <v>37072</v>
      </c>
      <c r="CC53" s="100">
        <f>BY53</f>
        <v>13.897330595482547</v>
      </c>
      <c r="CD53" s="100">
        <f>BZ53</f>
        <v>423</v>
      </c>
      <c r="CE53" s="102"/>
      <c r="CF53" s="111"/>
      <c r="CG53" s="100">
        <v>2</v>
      </c>
      <c r="CH53" s="115">
        <f>6.85+11.19</f>
        <v>18.04</v>
      </c>
      <c r="CI53" s="111" t="s">
        <v>40</v>
      </c>
      <c r="CJ53" s="111" t="s">
        <v>500</v>
      </c>
      <c r="CK53" s="109" t="s">
        <v>364</v>
      </c>
      <c r="CL53" s="109"/>
      <c r="CM53" s="109" t="s">
        <v>389</v>
      </c>
      <c r="CN53" s="110"/>
      <c r="CO53" s="100">
        <v>0</v>
      </c>
      <c r="CP53" s="110"/>
      <c r="CQ53" s="110" t="s">
        <v>408</v>
      </c>
      <c r="CR53" s="111"/>
    </row>
    <row r="54" spans="1:96" ht="25.5">
      <c r="A54" s="95" t="s">
        <v>438</v>
      </c>
      <c r="B54" s="95" t="s">
        <v>463</v>
      </c>
      <c r="C54" s="96">
        <v>17</v>
      </c>
      <c r="D54" s="96">
        <v>52</v>
      </c>
      <c r="E54" s="96">
        <v>8700</v>
      </c>
      <c r="F54" s="97">
        <v>23940</v>
      </c>
      <c r="G54" s="95">
        <v>1278039</v>
      </c>
      <c r="H54" s="96" t="s">
        <v>121</v>
      </c>
      <c r="I54" s="98">
        <v>36734</v>
      </c>
      <c r="J54" s="99">
        <f t="shared" si="29"/>
        <v>35.028062970568101</v>
      </c>
      <c r="K54" s="100">
        <v>1</v>
      </c>
      <c r="L54" s="114" t="s">
        <v>49</v>
      </c>
      <c r="M54" s="102" t="s">
        <v>122</v>
      </c>
      <c r="N54" s="100" t="s">
        <v>403</v>
      </c>
      <c r="O54" s="100">
        <v>0</v>
      </c>
      <c r="P54" s="100">
        <v>0</v>
      </c>
      <c r="Q54" s="100">
        <v>1</v>
      </c>
      <c r="R54" s="100">
        <v>0</v>
      </c>
      <c r="S54" s="100">
        <v>0</v>
      </c>
      <c r="T54" s="101" t="s">
        <v>475</v>
      </c>
      <c r="U54" s="103" t="s">
        <v>402</v>
      </c>
      <c r="V54" s="103">
        <v>1</v>
      </c>
      <c r="W54" s="103">
        <v>0</v>
      </c>
      <c r="X54" s="103">
        <v>0</v>
      </c>
      <c r="Y54" s="103">
        <v>0</v>
      </c>
      <c r="Z54" s="103">
        <v>0</v>
      </c>
      <c r="AA54" s="103">
        <v>0</v>
      </c>
      <c r="AB54" s="104">
        <v>35945</v>
      </c>
      <c r="AC54" s="105">
        <v>35945</v>
      </c>
      <c r="AD54" s="106">
        <f t="shared" si="30"/>
        <v>0</v>
      </c>
      <c r="AE54" s="106">
        <v>1</v>
      </c>
      <c r="AF54" s="106">
        <v>0</v>
      </c>
      <c r="AG54" s="105" t="s">
        <v>389</v>
      </c>
      <c r="AH54" s="100">
        <v>1</v>
      </c>
      <c r="AI54" s="101" t="s">
        <v>201</v>
      </c>
      <c r="AJ54" s="105">
        <v>36721</v>
      </c>
      <c r="AK54" s="106">
        <f t="shared" si="31"/>
        <v>0.4271047227926078</v>
      </c>
      <c r="AL54" s="106">
        <f t="shared" si="32"/>
        <v>25.494866529774125</v>
      </c>
      <c r="AM54" s="106">
        <f t="shared" si="33"/>
        <v>25.921971252566735</v>
      </c>
      <c r="AN54" s="102">
        <v>2</v>
      </c>
      <c r="AO54" s="102">
        <v>0</v>
      </c>
      <c r="AP54" s="97">
        <v>36746</v>
      </c>
      <c r="AQ54" s="97">
        <v>36746</v>
      </c>
      <c r="AR54" s="108">
        <f t="shared" si="34"/>
        <v>0</v>
      </c>
      <c r="AS54" s="109">
        <v>1</v>
      </c>
      <c r="AT54" s="109">
        <v>15</v>
      </c>
      <c r="AU54" s="109">
        <f t="shared" si="43"/>
        <v>15</v>
      </c>
      <c r="AV54" s="109">
        <v>0</v>
      </c>
      <c r="AW54" s="96">
        <v>0</v>
      </c>
      <c r="AX54" s="109">
        <v>0</v>
      </c>
      <c r="AY54" s="109">
        <v>0</v>
      </c>
      <c r="AZ54" s="109">
        <v>1</v>
      </c>
      <c r="BA54" s="109">
        <v>0</v>
      </c>
      <c r="BB54" s="109">
        <v>0</v>
      </c>
      <c r="BC54" s="109">
        <v>1</v>
      </c>
      <c r="BD54" s="109">
        <v>1</v>
      </c>
      <c r="BE54" s="98">
        <v>37483</v>
      </c>
      <c r="BF54" s="110"/>
      <c r="BG54" s="110">
        <f t="shared" si="44"/>
        <v>37483</v>
      </c>
      <c r="BH54" s="110"/>
      <c r="BI54" s="102" t="s">
        <v>82</v>
      </c>
      <c r="BJ54" s="100">
        <f t="shared" si="35"/>
        <v>24.607802874743324</v>
      </c>
      <c r="BK54" s="100">
        <f t="shared" si="36"/>
        <v>749</v>
      </c>
      <c r="BL54" s="100">
        <v>1</v>
      </c>
      <c r="BM54" s="110">
        <v>37005</v>
      </c>
      <c r="BN54" s="100">
        <f t="shared" si="48"/>
        <v>8.5092402464065717</v>
      </c>
      <c r="BO54" s="100">
        <f t="shared" si="49"/>
        <v>8.9034907597535931</v>
      </c>
      <c r="BP54" s="100">
        <f t="shared" si="37"/>
        <v>271</v>
      </c>
      <c r="BQ54" s="100">
        <v>0</v>
      </c>
      <c r="BR54" s="110"/>
      <c r="BS54" s="106">
        <f>BJ54</f>
        <v>24.607802874743324</v>
      </c>
      <c r="BT54" s="100">
        <f t="shared" si="45"/>
        <v>749</v>
      </c>
      <c r="BU54" s="100">
        <f>BQ54+BL54</f>
        <v>1</v>
      </c>
      <c r="BV54" s="100"/>
      <c r="BW54" s="100"/>
      <c r="BX54" s="110">
        <f>BM54</f>
        <v>37005</v>
      </c>
      <c r="BY54" s="100">
        <f t="shared" si="46"/>
        <v>8.9034907597535931</v>
      </c>
      <c r="BZ54" s="100">
        <f t="shared" si="47"/>
        <v>271</v>
      </c>
      <c r="CA54" s="116">
        <f t="shared" si="41"/>
        <v>1</v>
      </c>
      <c r="CB54" s="117">
        <v>37483</v>
      </c>
      <c r="CC54" s="116">
        <f>(CB54-I54)*12/365.25</f>
        <v>24.607802874743328</v>
      </c>
      <c r="CD54" s="116">
        <f>CC54*365.25/12</f>
        <v>749</v>
      </c>
      <c r="CE54" s="102"/>
      <c r="CF54" s="111"/>
      <c r="CG54" s="100">
        <v>1</v>
      </c>
      <c r="CH54" s="115">
        <f>0.36+0.72</f>
        <v>1.08</v>
      </c>
      <c r="CI54" s="111"/>
      <c r="CJ54" s="111" t="s">
        <v>344</v>
      </c>
      <c r="CK54" s="109" t="s">
        <v>363</v>
      </c>
      <c r="CL54" s="109"/>
      <c r="CM54" s="109" t="s">
        <v>389</v>
      </c>
      <c r="CN54" s="110">
        <v>37026</v>
      </c>
      <c r="CO54" s="100">
        <v>1</v>
      </c>
      <c r="CP54" s="100">
        <f>(CN54-AP54)*12/365.25</f>
        <v>9.1991786447638599</v>
      </c>
      <c r="CQ54" s="100" t="s">
        <v>389</v>
      </c>
      <c r="CR54" s="118">
        <v>37197</v>
      </c>
    </row>
    <row r="55" spans="1:96" ht="25.5">
      <c r="A55" s="95" t="s">
        <v>444</v>
      </c>
      <c r="B55" s="95" t="s">
        <v>8</v>
      </c>
      <c r="C55" s="96">
        <v>23</v>
      </c>
      <c r="D55" s="96">
        <v>53</v>
      </c>
      <c r="E55" s="96">
        <v>8700</v>
      </c>
      <c r="F55" s="97">
        <v>22779</v>
      </c>
      <c r="G55" s="95">
        <v>2341589</v>
      </c>
      <c r="H55" s="96" t="s">
        <v>121</v>
      </c>
      <c r="I55" s="98">
        <v>37225</v>
      </c>
      <c r="J55" s="99">
        <f t="shared" si="29"/>
        <v>39.550992470910337</v>
      </c>
      <c r="K55" s="100">
        <v>1</v>
      </c>
      <c r="L55" s="114" t="s">
        <v>34</v>
      </c>
      <c r="M55" s="102" t="s">
        <v>122</v>
      </c>
      <c r="N55" s="100" t="s">
        <v>403</v>
      </c>
      <c r="O55" s="100">
        <v>0</v>
      </c>
      <c r="P55" s="100">
        <v>0</v>
      </c>
      <c r="Q55" s="100">
        <v>1</v>
      </c>
      <c r="R55" s="100">
        <v>0</v>
      </c>
      <c r="S55" s="100">
        <v>0</v>
      </c>
      <c r="T55" s="101" t="s">
        <v>475</v>
      </c>
      <c r="U55" s="103" t="s">
        <v>402</v>
      </c>
      <c r="V55" s="103">
        <v>1</v>
      </c>
      <c r="W55" s="103">
        <v>0</v>
      </c>
      <c r="X55" s="103">
        <v>0</v>
      </c>
      <c r="Y55" s="103">
        <v>0</v>
      </c>
      <c r="Z55" s="103">
        <v>0</v>
      </c>
      <c r="AA55" s="103">
        <v>0</v>
      </c>
      <c r="AB55" s="104">
        <v>36545</v>
      </c>
      <c r="AC55" s="105">
        <v>36895</v>
      </c>
      <c r="AD55" s="106">
        <f t="shared" si="30"/>
        <v>11.498973305954825</v>
      </c>
      <c r="AE55" s="106">
        <v>0</v>
      </c>
      <c r="AF55" s="106">
        <v>0</v>
      </c>
      <c r="AG55" s="105" t="s">
        <v>387</v>
      </c>
      <c r="AH55" s="100">
        <v>1</v>
      </c>
      <c r="AI55" s="101" t="s">
        <v>315</v>
      </c>
      <c r="AJ55" s="105">
        <v>36895</v>
      </c>
      <c r="AK55" s="106">
        <f t="shared" si="31"/>
        <v>10.841889117043122</v>
      </c>
      <c r="AL55" s="106">
        <f t="shared" si="32"/>
        <v>0</v>
      </c>
      <c r="AM55" s="106">
        <f t="shared" si="33"/>
        <v>22.340862422997947</v>
      </c>
      <c r="AN55" s="102">
        <v>3</v>
      </c>
      <c r="AO55" s="102">
        <v>0</v>
      </c>
      <c r="AP55" s="97">
        <v>37240</v>
      </c>
      <c r="AQ55" s="97">
        <v>37254</v>
      </c>
      <c r="AR55" s="108">
        <f t="shared" si="34"/>
        <v>2</v>
      </c>
      <c r="AS55" s="109">
        <v>10</v>
      </c>
      <c r="AT55" s="109">
        <v>3.5</v>
      </c>
      <c r="AU55" s="109">
        <f t="shared" si="43"/>
        <v>35</v>
      </c>
      <c r="AV55" s="109">
        <v>0</v>
      </c>
      <c r="AW55" s="96">
        <v>0</v>
      </c>
      <c r="AX55" s="109">
        <v>1</v>
      </c>
      <c r="AY55" s="109">
        <v>0</v>
      </c>
      <c r="AZ55" s="109">
        <v>0</v>
      </c>
      <c r="BA55" s="109">
        <v>0</v>
      </c>
      <c r="BB55" s="109">
        <v>0</v>
      </c>
      <c r="BC55" s="109">
        <v>1</v>
      </c>
      <c r="BD55" s="109">
        <v>1</v>
      </c>
      <c r="BE55" s="98">
        <v>37584</v>
      </c>
      <c r="BF55" s="110"/>
      <c r="BG55" s="110">
        <f t="shared" si="44"/>
        <v>37584</v>
      </c>
      <c r="BH55" s="110"/>
      <c r="BI55" s="102" t="s">
        <v>82</v>
      </c>
      <c r="BJ55" s="100">
        <f t="shared" si="35"/>
        <v>11.794661190965092</v>
      </c>
      <c r="BK55" s="100">
        <f t="shared" si="36"/>
        <v>359</v>
      </c>
      <c r="BL55" s="100">
        <v>1</v>
      </c>
      <c r="BM55" s="110">
        <v>37462</v>
      </c>
      <c r="BN55" s="100">
        <f t="shared" si="48"/>
        <v>6.8336755646817249</v>
      </c>
      <c r="BO55" s="100">
        <f t="shared" si="49"/>
        <v>7.786447638603696</v>
      </c>
      <c r="BP55" s="100">
        <f t="shared" si="37"/>
        <v>237</v>
      </c>
      <c r="BQ55" s="100">
        <v>1</v>
      </c>
      <c r="BR55" s="110">
        <v>37418</v>
      </c>
      <c r="BS55" s="106">
        <f t="shared" ref="BS55:BS61" si="50">(BR55-I55)*12/365.25</f>
        <v>6.3408624229979464</v>
      </c>
      <c r="BT55" s="100">
        <f t="shared" si="45"/>
        <v>193</v>
      </c>
      <c r="BU55" s="100">
        <v>1</v>
      </c>
      <c r="BV55" s="100"/>
      <c r="BW55" s="100"/>
      <c r="BX55" s="110">
        <f>BR55</f>
        <v>37418</v>
      </c>
      <c r="BY55" s="100">
        <f t="shared" si="46"/>
        <v>6.3408624229979464</v>
      </c>
      <c r="BZ55" s="100">
        <f t="shared" si="47"/>
        <v>193</v>
      </c>
      <c r="CA55" s="100">
        <f t="shared" si="41"/>
        <v>1</v>
      </c>
      <c r="CB55" s="110">
        <f t="shared" ref="CB55:CD57" si="51">BX55</f>
        <v>37418</v>
      </c>
      <c r="CC55" s="100">
        <f t="shared" si="51"/>
        <v>6.3408624229979464</v>
      </c>
      <c r="CD55" s="100">
        <f t="shared" si="51"/>
        <v>193</v>
      </c>
      <c r="CE55" s="102"/>
      <c r="CF55" s="111"/>
      <c r="CG55" s="100">
        <v>5</v>
      </c>
      <c r="CH55" s="115">
        <f>164.29+12.53+69.06</f>
        <v>245.88</v>
      </c>
      <c r="CI55" s="111" t="s">
        <v>315</v>
      </c>
      <c r="CJ55" s="111" t="s">
        <v>485</v>
      </c>
      <c r="CK55" s="109" t="s">
        <v>364</v>
      </c>
      <c r="CL55" s="109"/>
      <c r="CM55" s="109" t="s">
        <v>389</v>
      </c>
      <c r="CN55" s="110"/>
      <c r="CO55" s="100">
        <v>0</v>
      </c>
      <c r="CP55" s="110"/>
      <c r="CQ55" s="110" t="s">
        <v>408</v>
      </c>
      <c r="CR55" s="111"/>
    </row>
    <row r="56" spans="1:96" s="113" customFormat="1" ht="25.5">
      <c r="A56" s="119" t="s">
        <v>300</v>
      </c>
      <c r="B56" s="119" t="s">
        <v>67</v>
      </c>
      <c r="C56" s="120">
        <v>1</v>
      </c>
      <c r="D56" s="96">
        <v>54</v>
      </c>
      <c r="E56" s="120">
        <v>9700</v>
      </c>
      <c r="F56" s="121">
        <v>12296</v>
      </c>
      <c r="G56" s="122">
        <v>1412065</v>
      </c>
      <c r="H56" s="123" t="s">
        <v>121</v>
      </c>
      <c r="I56" s="124">
        <v>35600</v>
      </c>
      <c r="J56" s="122">
        <f t="shared" si="29"/>
        <v>63.802874743326491</v>
      </c>
      <c r="K56" s="125">
        <v>0</v>
      </c>
      <c r="L56" s="123" t="s">
        <v>49</v>
      </c>
      <c r="M56" s="119" t="s">
        <v>327</v>
      </c>
      <c r="N56" s="120" t="s">
        <v>510</v>
      </c>
      <c r="O56" s="120">
        <v>0</v>
      </c>
      <c r="P56" s="120">
        <v>1</v>
      </c>
      <c r="Q56" s="120">
        <v>0</v>
      </c>
      <c r="R56" s="120">
        <v>0</v>
      </c>
      <c r="S56" s="120">
        <v>0</v>
      </c>
      <c r="T56" s="126" t="s">
        <v>361</v>
      </c>
      <c r="U56" s="103" t="s">
        <v>402</v>
      </c>
      <c r="V56" s="103">
        <v>1</v>
      </c>
      <c r="W56" s="103">
        <v>0</v>
      </c>
      <c r="X56" s="103">
        <v>0</v>
      </c>
      <c r="Y56" s="103">
        <v>0</v>
      </c>
      <c r="Z56" s="103">
        <v>0</v>
      </c>
      <c r="AA56" s="103">
        <v>0</v>
      </c>
      <c r="AB56" s="105">
        <v>35308</v>
      </c>
      <c r="AC56" s="105">
        <v>35308</v>
      </c>
      <c r="AD56" s="106">
        <f t="shared" si="30"/>
        <v>0</v>
      </c>
      <c r="AE56" s="106">
        <v>0</v>
      </c>
      <c r="AF56" s="106">
        <v>0</v>
      </c>
      <c r="AG56" s="105" t="s">
        <v>389</v>
      </c>
      <c r="AH56" s="100">
        <v>1</v>
      </c>
      <c r="AI56" s="127" t="s">
        <v>315</v>
      </c>
      <c r="AJ56" s="105">
        <v>35308</v>
      </c>
      <c r="AK56" s="106">
        <f t="shared" si="31"/>
        <v>9.593429158110883</v>
      </c>
      <c r="AL56" s="106">
        <f t="shared" si="32"/>
        <v>0</v>
      </c>
      <c r="AM56" s="106">
        <f t="shared" si="33"/>
        <v>9.593429158110883</v>
      </c>
      <c r="AN56" s="102">
        <v>1</v>
      </c>
      <c r="AO56" s="102">
        <v>1</v>
      </c>
      <c r="AP56" s="128">
        <v>35635</v>
      </c>
      <c r="AQ56" s="128">
        <v>35658</v>
      </c>
      <c r="AR56" s="129">
        <f t="shared" si="34"/>
        <v>3.2857142857142856</v>
      </c>
      <c r="AS56" s="109">
        <v>18</v>
      </c>
      <c r="AT56" s="109">
        <v>2.75</v>
      </c>
      <c r="AU56" s="109">
        <f t="shared" ref="AU56:AU87" si="52">AT56*AS56</f>
        <v>49.5</v>
      </c>
      <c r="AV56" s="109">
        <v>0</v>
      </c>
      <c r="AW56" s="109">
        <v>0</v>
      </c>
      <c r="AX56" s="109">
        <v>1</v>
      </c>
      <c r="AY56" s="109">
        <v>0</v>
      </c>
      <c r="AZ56" s="109">
        <v>0</v>
      </c>
      <c r="BA56" s="109">
        <v>0</v>
      </c>
      <c r="BB56" s="109">
        <v>0</v>
      </c>
      <c r="BC56" s="109">
        <v>1</v>
      </c>
      <c r="BD56" s="130">
        <v>1</v>
      </c>
      <c r="BE56" s="131">
        <v>35880</v>
      </c>
      <c r="BF56" s="124"/>
      <c r="BG56" s="124">
        <f t="shared" si="44"/>
        <v>35880</v>
      </c>
      <c r="BH56" s="124"/>
      <c r="BI56" s="102" t="s">
        <v>82</v>
      </c>
      <c r="BJ56" s="100">
        <f t="shared" si="35"/>
        <v>9.1991786447638599</v>
      </c>
      <c r="BK56" s="100">
        <f t="shared" si="36"/>
        <v>280</v>
      </c>
      <c r="BL56" s="100">
        <v>1</v>
      </c>
      <c r="BM56" s="110">
        <v>35795</v>
      </c>
      <c r="BN56" s="100">
        <f t="shared" si="48"/>
        <v>4.5010266940451746</v>
      </c>
      <c r="BO56" s="100">
        <f t="shared" si="49"/>
        <v>6.406570841889117</v>
      </c>
      <c r="BP56" s="100">
        <f t="shared" si="37"/>
        <v>195</v>
      </c>
      <c r="BQ56" s="100">
        <v>1</v>
      </c>
      <c r="BR56" s="110">
        <v>35795</v>
      </c>
      <c r="BS56" s="106">
        <f t="shared" si="50"/>
        <v>6.406570841889117</v>
      </c>
      <c r="BT56" s="100">
        <f t="shared" si="45"/>
        <v>195</v>
      </c>
      <c r="BU56" s="100">
        <v>1</v>
      </c>
      <c r="BV56" s="100"/>
      <c r="BW56" s="100"/>
      <c r="BX56" s="110">
        <f>BR56</f>
        <v>35795</v>
      </c>
      <c r="BY56" s="100">
        <f t="shared" si="46"/>
        <v>6.406570841889117</v>
      </c>
      <c r="BZ56" s="100">
        <f t="shared" si="47"/>
        <v>195</v>
      </c>
      <c r="CA56" s="100">
        <f t="shared" si="41"/>
        <v>1</v>
      </c>
      <c r="CB56" s="110">
        <f t="shared" si="51"/>
        <v>35795</v>
      </c>
      <c r="CC56" s="100">
        <f t="shared" si="51"/>
        <v>6.406570841889117</v>
      </c>
      <c r="CD56" s="100">
        <f t="shared" si="51"/>
        <v>195</v>
      </c>
      <c r="CE56" s="132" t="s">
        <v>38</v>
      </c>
      <c r="CF56" s="126" t="s">
        <v>38</v>
      </c>
      <c r="CG56" s="100">
        <v>5</v>
      </c>
      <c r="CH56" s="115">
        <v>422.4</v>
      </c>
      <c r="CI56" s="126" t="s">
        <v>360</v>
      </c>
      <c r="CJ56" s="126">
        <v>0</v>
      </c>
      <c r="CK56" s="126" t="s">
        <v>38</v>
      </c>
      <c r="CL56" s="126"/>
      <c r="CM56" s="126" t="s">
        <v>408</v>
      </c>
      <c r="CN56" s="110"/>
      <c r="CO56" s="100">
        <v>0</v>
      </c>
      <c r="CP56" s="110"/>
      <c r="CQ56" s="110" t="s">
        <v>408</v>
      </c>
      <c r="CR56" s="126"/>
    </row>
    <row r="57" spans="1:96" s="113" customFormat="1" ht="25.5">
      <c r="A57" s="119" t="s">
        <v>345</v>
      </c>
      <c r="B57" s="119" t="s">
        <v>171</v>
      </c>
      <c r="C57" s="120">
        <v>2</v>
      </c>
      <c r="D57" s="96">
        <v>55</v>
      </c>
      <c r="E57" s="120">
        <v>9700</v>
      </c>
      <c r="F57" s="121">
        <v>13678</v>
      </c>
      <c r="G57" s="122">
        <v>1723960</v>
      </c>
      <c r="H57" s="123" t="s">
        <v>121</v>
      </c>
      <c r="I57" s="124">
        <v>35637</v>
      </c>
      <c r="J57" s="122">
        <f t="shared" si="29"/>
        <v>60.120465434633815</v>
      </c>
      <c r="K57" s="125">
        <v>0</v>
      </c>
      <c r="L57" s="123" t="s">
        <v>49</v>
      </c>
      <c r="M57" s="119" t="s">
        <v>64</v>
      </c>
      <c r="N57" s="120" t="s">
        <v>107</v>
      </c>
      <c r="O57" s="120">
        <v>1</v>
      </c>
      <c r="P57" s="120">
        <v>0</v>
      </c>
      <c r="Q57" s="120">
        <v>0</v>
      </c>
      <c r="R57" s="120">
        <v>0</v>
      </c>
      <c r="S57" s="120">
        <v>0</v>
      </c>
      <c r="T57" s="126" t="s">
        <v>155</v>
      </c>
      <c r="U57" s="103" t="s">
        <v>402</v>
      </c>
      <c r="V57" s="103">
        <v>1</v>
      </c>
      <c r="W57" s="103">
        <v>0</v>
      </c>
      <c r="X57" s="103">
        <v>0</v>
      </c>
      <c r="Y57" s="103">
        <v>0</v>
      </c>
      <c r="Z57" s="103">
        <v>0</v>
      </c>
      <c r="AA57" s="103">
        <v>0</v>
      </c>
      <c r="AB57" s="105">
        <v>34523</v>
      </c>
      <c r="AC57" s="105">
        <v>34819</v>
      </c>
      <c r="AD57" s="106">
        <f t="shared" si="30"/>
        <v>9.7248459958932241</v>
      </c>
      <c r="AE57" s="106">
        <v>0</v>
      </c>
      <c r="AF57" s="106">
        <v>0</v>
      </c>
      <c r="AG57" s="105" t="s">
        <v>387</v>
      </c>
      <c r="AH57" s="100">
        <v>1</v>
      </c>
      <c r="AI57" s="127" t="s">
        <v>315</v>
      </c>
      <c r="AJ57" s="105">
        <v>34819</v>
      </c>
      <c r="AK57" s="106">
        <f t="shared" si="31"/>
        <v>26.874743326488705</v>
      </c>
      <c r="AL57" s="106">
        <f t="shared" si="32"/>
        <v>0</v>
      </c>
      <c r="AM57" s="106">
        <f t="shared" si="33"/>
        <v>36.599589322381931</v>
      </c>
      <c r="AN57" s="102">
        <v>3</v>
      </c>
      <c r="AO57" s="102">
        <v>0</v>
      </c>
      <c r="AP57" s="128">
        <v>35650</v>
      </c>
      <c r="AQ57" s="128">
        <v>35663</v>
      </c>
      <c r="AR57" s="129">
        <f t="shared" si="34"/>
        <v>1.8571428571428572</v>
      </c>
      <c r="AS57" s="109">
        <v>10</v>
      </c>
      <c r="AT57" s="109">
        <v>4.5</v>
      </c>
      <c r="AU57" s="109">
        <f t="shared" si="52"/>
        <v>45</v>
      </c>
      <c r="AV57" s="109">
        <v>0</v>
      </c>
      <c r="AW57" s="109">
        <v>0</v>
      </c>
      <c r="AX57" s="109">
        <v>1</v>
      </c>
      <c r="AY57" s="109">
        <v>0</v>
      </c>
      <c r="AZ57" s="109">
        <v>0</v>
      </c>
      <c r="BA57" s="109">
        <v>0</v>
      </c>
      <c r="BB57" s="109">
        <v>0</v>
      </c>
      <c r="BC57" s="109">
        <v>1</v>
      </c>
      <c r="BD57" s="130">
        <v>1</v>
      </c>
      <c r="BE57" s="131">
        <v>36331</v>
      </c>
      <c r="BF57" s="124"/>
      <c r="BG57" s="124">
        <f t="shared" si="44"/>
        <v>36331</v>
      </c>
      <c r="BH57" s="124"/>
      <c r="BI57" s="102" t="s">
        <v>82</v>
      </c>
      <c r="BJ57" s="100">
        <f t="shared" si="35"/>
        <v>22.800821355236142</v>
      </c>
      <c r="BK57" s="100">
        <f t="shared" si="36"/>
        <v>694</v>
      </c>
      <c r="BL57" s="100">
        <v>1</v>
      </c>
      <c r="BM57" s="110">
        <v>36042</v>
      </c>
      <c r="BN57" s="100">
        <f t="shared" si="48"/>
        <v>12.451745379876797</v>
      </c>
      <c r="BO57" s="100">
        <f t="shared" si="49"/>
        <v>13.305954825462011</v>
      </c>
      <c r="BP57" s="100">
        <f t="shared" si="37"/>
        <v>405</v>
      </c>
      <c r="BQ57" s="100">
        <v>1</v>
      </c>
      <c r="BR57" s="110">
        <v>36042</v>
      </c>
      <c r="BS57" s="106">
        <f t="shared" si="50"/>
        <v>13.305954825462011</v>
      </c>
      <c r="BT57" s="100">
        <f t="shared" si="45"/>
        <v>405</v>
      </c>
      <c r="BU57" s="100">
        <f>BQ57+BL57</f>
        <v>2</v>
      </c>
      <c r="BV57" s="100"/>
      <c r="BW57" s="100"/>
      <c r="BX57" s="110">
        <f>BR57</f>
        <v>36042</v>
      </c>
      <c r="BY57" s="100">
        <f t="shared" si="46"/>
        <v>13.305954825462011</v>
      </c>
      <c r="BZ57" s="100">
        <f t="shared" si="47"/>
        <v>405</v>
      </c>
      <c r="CA57" s="100">
        <f t="shared" si="41"/>
        <v>2</v>
      </c>
      <c r="CB57" s="110">
        <f t="shared" si="51"/>
        <v>36042</v>
      </c>
      <c r="CC57" s="100">
        <f t="shared" si="51"/>
        <v>13.305954825462011</v>
      </c>
      <c r="CD57" s="100">
        <f t="shared" si="51"/>
        <v>405</v>
      </c>
      <c r="CE57" s="132">
        <v>0</v>
      </c>
      <c r="CF57" s="126">
        <v>0</v>
      </c>
      <c r="CG57" s="100">
        <v>4</v>
      </c>
      <c r="CH57" s="115">
        <v>55.71</v>
      </c>
      <c r="CI57" s="126" t="s">
        <v>89</v>
      </c>
      <c r="CJ57" s="126">
        <v>0</v>
      </c>
      <c r="CK57" s="126" t="s">
        <v>38</v>
      </c>
      <c r="CL57" s="126"/>
      <c r="CM57" s="126" t="s">
        <v>408</v>
      </c>
      <c r="CN57" s="110"/>
      <c r="CO57" s="100">
        <v>0</v>
      </c>
      <c r="CP57" s="110"/>
      <c r="CQ57" s="110" t="s">
        <v>408</v>
      </c>
      <c r="CR57" s="126"/>
    </row>
    <row r="58" spans="1:96" s="113" customFormat="1" ht="25.5">
      <c r="A58" s="119" t="s">
        <v>319</v>
      </c>
      <c r="B58" s="119" t="s">
        <v>106</v>
      </c>
      <c r="C58" s="120">
        <v>3</v>
      </c>
      <c r="D58" s="96">
        <v>56</v>
      </c>
      <c r="E58" s="120">
        <v>9700</v>
      </c>
      <c r="F58" s="121">
        <v>11533</v>
      </c>
      <c r="G58" s="122">
        <v>105282</v>
      </c>
      <c r="H58" s="123" t="s">
        <v>121</v>
      </c>
      <c r="I58" s="124">
        <v>35670</v>
      </c>
      <c r="J58" s="122">
        <f t="shared" si="29"/>
        <v>66.083504449007535</v>
      </c>
      <c r="K58" s="125">
        <v>0</v>
      </c>
      <c r="L58" s="123" t="s">
        <v>68</v>
      </c>
      <c r="M58" s="119" t="s">
        <v>167</v>
      </c>
      <c r="N58" s="120" t="s">
        <v>510</v>
      </c>
      <c r="O58" s="120">
        <v>0</v>
      </c>
      <c r="P58" s="120">
        <v>1</v>
      </c>
      <c r="Q58" s="120">
        <v>0</v>
      </c>
      <c r="R58" s="120">
        <v>0</v>
      </c>
      <c r="S58" s="120">
        <v>0</v>
      </c>
      <c r="T58" s="126" t="s">
        <v>155</v>
      </c>
      <c r="U58" s="103" t="s">
        <v>402</v>
      </c>
      <c r="V58" s="103">
        <v>1</v>
      </c>
      <c r="W58" s="103">
        <v>0</v>
      </c>
      <c r="X58" s="103">
        <v>0</v>
      </c>
      <c r="Y58" s="103">
        <v>0</v>
      </c>
      <c r="Z58" s="103">
        <v>0</v>
      </c>
      <c r="AA58" s="103">
        <v>0</v>
      </c>
      <c r="AB58" s="105">
        <v>35286</v>
      </c>
      <c r="AC58" s="105">
        <v>35567</v>
      </c>
      <c r="AD58" s="106">
        <f t="shared" si="30"/>
        <v>9.2320328542094465</v>
      </c>
      <c r="AE58" s="106">
        <v>0</v>
      </c>
      <c r="AF58" s="106">
        <v>0</v>
      </c>
      <c r="AG58" s="105" t="s">
        <v>388</v>
      </c>
      <c r="AH58" s="100">
        <v>0</v>
      </c>
      <c r="AI58" s="127" t="s">
        <v>315</v>
      </c>
      <c r="AJ58" s="105">
        <v>35567</v>
      </c>
      <c r="AK58" s="106">
        <f t="shared" si="31"/>
        <v>3.3839835728952772</v>
      </c>
      <c r="AL58" s="106">
        <f t="shared" si="32"/>
        <v>0</v>
      </c>
      <c r="AM58" s="106">
        <f t="shared" si="33"/>
        <v>12.616016427104723</v>
      </c>
      <c r="AN58" s="102">
        <v>1</v>
      </c>
      <c r="AO58" s="102">
        <v>1</v>
      </c>
      <c r="AP58" s="128">
        <v>35689</v>
      </c>
      <c r="AQ58" s="128">
        <v>35706</v>
      </c>
      <c r="AR58" s="129">
        <f t="shared" si="34"/>
        <v>2.4285714285714284</v>
      </c>
      <c r="AS58" s="109">
        <v>14</v>
      </c>
      <c r="AT58" s="109">
        <v>3.6</v>
      </c>
      <c r="AU58" s="109">
        <f t="shared" si="52"/>
        <v>50.4</v>
      </c>
      <c r="AV58" s="109">
        <v>0</v>
      </c>
      <c r="AW58" s="109">
        <v>0</v>
      </c>
      <c r="AX58" s="109">
        <v>1</v>
      </c>
      <c r="AY58" s="109">
        <v>0</v>
      </c>
      <c r="AZ58" s="109">
        <v>0</v>
      </c>
      <c r="BA58" s="109">
        <v>0</v>
      </c>
      <c r="BB58" s="109">
        <v>0</v>
      </c>
      <c r="BC58" s="109">
        <v>1</v>
      </c>
      <c r="BD58" s="125">
        <v>1</v>
      </c>
      <c r="BE58" s="131">
        <v>36829</v>
      </c>
      <c r="BF58" s="124"/>
      <c r="BG58" s="124">
        <f t="shared" si="44"/>
        <v>36829</v>
      </c>
      <c r="BH58" s="124"/>
      <c r="BI58" s="102" t="s">
        <v>82</v>
      </c>
      <c r="BJ58" s="100">
        <f t="shared" si="35"/>
        <v>38.078028747433265</v>
      </c>
      <c r="BK58" s="100">
        <f t="shared" si="36"/>
        <v>1159</v>
      </c>
      <c r="BL58" s="100">
        <v>1</v>
      </c>
      <c r="BM58" s="110">
        <v>36556</v>
      </c>
      <c r="BN58" s="100">
        <f t="shared" si="48"/>
        <v>27.926078028747433</v>
      </c>
      <c r="BO58" s="100">
        <f t="shared" si="49"/>
        <v>29.108829568788501</v>
      </c>
      <c r="BP58" s="100">
        <f t="shared" si="37"/>
        <v>886</v>
      </c>
      <c r="BQ58" s="100">
        <v>1</v>
      </c>
      <c r="BR58" s="110">
        <v>36694</v>
      </c>
      <c r="BS58" s="106">
        <f t="shared" si="50"/>
        <v>33.642710472279262</v>
      </c>
      <c r="BT58" s="100">
        <f t="shared" si="45"/>
        <v>1024</v>
      </c>
      <c r="BU58" s="100">
        <v>1</v>
      </c>
      <c r="BV58" s="100"/>
      <c r="BW58" s="100"/>
      <c r="BX58" s="110">
        <v>36557</v>
      </c>
      <c r="BY58" s="100">
        <f t="shared" si="46"/>
        <v>29.141683778234086</v>
      </c>
      <c r="BZ58" s="100">
        <f t="shared" si="47"/>
        <v>887</v>
      </c>
      <c r="CA58" s="116">
        <f t="shared" si="41"/>
        <v>1</v>
      </c>
      <c r="CB58" s="117">
        <v>36694</v>
      </c>
      <c r="CC58" s="116">
        <f>(CB58-I58)*12/365.25</f>
        <v>33.642710472279262</v>
      </c>
      <c r="CD58" s="116">
        <f>CC58*365.25/12</f>
        <v>1024</v>
      </c>
      <c r="CE58" s="132" t="s">
        <v>22</v>
      </c>
      <c r="CF58" s="126" t="s">
        <v>154</v>
      </c>
      <c r="CG58" s="100">
        <v>3</v>
      </c>
      <c r="CH58" s="115">
        <v>24.24</v>
      </c>
      <c r="CI58" s="126" t="s">
        <v>37</v>
      </c>
      <c r="CJ58" s="126" t="s">
        <v>362</v>
      </c>
      <c r="CK58" s="126" t="s">
        <v>363</v>
      </c>
      <c r="CL58" s="126"/>
      <c r="CM58" s="126" t="s">
        <v>389</v>
      </c>
      <c r="CN58" s="110" t="s">
        <v>366</v>
      </c>
      <c r="CO58" s="100">
        <v>1</v>
      </c>
      <c r="CP58" s="100">
        <f>(CN58-AP58)*12/365.25</f>
        <v>20.533880903490761</v>
      </c>
      <c r="CQ58" s="100" t="s">
        <v>389</v>
      </c>
      <c r="CR58" s="126" t="s">
        <v>367</v>
      </c>
    </row>
    <row r="59" spans="1:96" s="113" customFormat="1" ht="25.5">
      <c r="A59" s="119" t="s">
        <v>256</v>
      </c>
      <c r="B59" s="119" t="s">
        <v>171</v>
      </c>
      <c r="C59" s="120">
        <v>4</v>
      </c>
      <c r="D59" s="96">
        <v>57</v>
      </c>
      <c r="E59" s="120">
        <v>9700</v>
      </c>
      <c r="F59" s="121">
        <v>8455</v>
      </c>
      <c r="G59" s="122">
        <v>1281607</v>
      </c>
      <c r="H59" s="123" t="s">
        <v>121</v>
      </c>
      <c r="I59" s="124">
        <v>35713</v>
      </c>
      <c r="J59" s="122">
        <f t="shared" si="29"/>
        <v>74.628336755646814</v>
      </c>
      <c r="K59" s="125">
        <v>0</v>
      </c>
      <c r="L59" s="123" t="s">
        <v>49</v>
      </c>
      <c r="M59" s="119" t="s">
        <v>64</v>
      </c>
      <c r="N59" s="120" t="s">
        <v>107</v>
      </c>
      <c r="O59" s="120">
        <v>1</v>
      </c>
      <c r="P59" s="120">
        <v>0</v>
      </c>
      <c r="Q59" s="120">
        <v>0</v>
      </c>
      <c r="R59" s="120">
        <v>0</v>
      </c>
      <c r="S59" s="120">
        <v>0</v>
      </c>
      <c r="T59" s="126" t="s">
        <v>155</v>
      </c>
      <c r="U59" s="103" t="s">
        <v>402</v>
      </c>
      <c r="V59" s="103">
        <v>1</v>
      </c>
      <c r="W59" s="103">
        <v>0</v>
      </c>
      <c r="X59" s="103">
        <v>0</v>
      </c>
      <c r="Y59" s="103">
        <v>0</v>
      </c>
      <c r="Z59" s="103">
        <v>0</v>
      </c>
      <c r="AA59" s="103">
        <v>0</v>
      </c>
      <c r="AB59" s="105">
        <v>35033</v>
      </c>
      <c r="AC59" s="105">
        <v>35033</v>
      </c>
      <c r="AD59" s="106">
        <f t="shared" si="30"/>
        <v>0</v>
      </c>
      <c r="AE59" s="106">
        <v>0</v>
      </c>
      <c r="AF59" s="106">
        <v>1</v>
      </c>
      <c r="AG59" s="105" t="s">
        <v>389</v>
      </c>
      <c r="AH59" s="100">
        <v>1</v>
      </c>
      <c r="AI59" s="127" t="s">
        <v>315</v>
      </c>
      <c r="AJ59" s="105">
        <v>35033</v>
      </c>
      <c r="AK59" s="106">
        <f t="shared" si="31"/>
        <v>22.340862422997947</v>
      </c>
      <c r="AL59" s="106">
        <f t="shared" si="32"/>
        <v>0</v>
      </c>
      <c r="AM59" s="106">
        <f t="shared" si="33"/>
        <v>22.340862422997947</v>
      </c>
      <c r="AN59" s="102">
        <v>3</v>
      </c>
      <c r="AO59" s="102">
        <v>0</v>
      </c>
      <c r="AP59" s="128">
        <v>35734</v>
      </c>
      <c r="AQ59" s="128">
        <v>35760</v>
      </c>
      <c r="AR59" s="129">
        <f t="shared" si="34"/>
        <v>3.7142857142857144</v>
      </c>
      <c r="AS59" s="109">
        <v>18</v>
      </c>
      <c r="AT59" s="109">
        <v>2.5</v>
      </c>
      <c r="AU59" s="109">
        <f t="shared" si="52"/>
        <v>45</v>
      </c>
      <c r="AV59" s="109">
        <v>0</v>
      </c>
      <c r="AW59" s="109">
        <v>0</v>
      </c>
      <c r="AX59" s="109">
        <v>1</v>
      </c>
      <c r="AY59" s="109">
        <v>0</v>
      </c>
      <c r="AZ59" s="109">
        <v>0</v>
      </c>
      <c r="BA59" s="109">
        <v>0</v>
      </c>
      <c r="BB59" s="109">
        <v>0</v>
      </c>
      <c r="BC59" s="109">
        <v>1</v>
      </c>
      <c r="BD59" s="125">
        <v>1</v>
      </c>
      <c r="BE59" s="131">
        <v>35980</v>
      </c>
      <c r="BF59" s="124"/>
      <c r="BG59" s="124">
        <f t="shared" si="44"/>
        <v>35980</v>
      </c>
      <c r="BH59" s="124"/>
      <c r="BI59" s="102" t="s">
        <v>82</v>
      </c>
      <c r="BJ59" s="100">
        <f t="shared" si="35"/>
        <v>8.772073921971252</v>
      </c>
      <c r="BK59" s="100">
        <f t="shared" si="36"/>
        <v>267</v>
      </c>
      <c r="BL59" s="100">
        <v>1</v>
      </c>
      <c r="BM59" s="110">
        <v>35851</v>
      </c>
      <c r="BN59" s="100">
        <f t="shared" si="48"/>
        <v>2.9897330595482545</v>
      </c>
      <c r="BO59" s="100">
        <f t="shared" si="49"/>
        <v>4.5338809034907595</v>
      </c>
      <c r="BP59" s="100">
        <f t="shared" si="37"/>
        <v>138</v>
      </c>
      <c r="BQ59" s="100">
        <v>1</v>
      </c>
      <c r="BR59" s="110">
        <v>35885</v>
      </c>
      <c r="BS59" s="106">
        <f t="shared" si="50"/>
        <v>5.6509240246406574</v>
      </c>
      <c r="BT59" s="100">
        <f t="shared" si="45"/>
        <v>172</v>
      </c>
      <c r="BU59" s="100">
        <v>1</v>
      </c>
      <c r="BV59" s="100"/>
      <c r="BW59" s="100"/>
      <c r="BX59" s="110">
        <f>BM59</f>
        <v>35851</v>
      </c>
      <c r="BY59" s="100">
        <f t="shared" si="46"/>
        <v>4.5338809034907595</v>
      </c>
      <c r="BZ59" s="100">
        <f t="shared" si="47"/>
        <v>138</v>
      </c>
      <c r="CA59" s="116">
        <f t="shared" si="41"/>
        <v>1</v>
      </c>
      <c r="CB59" s="117">
        <v>35885</v>
      </c>
      <c r="CC59" s="116">
        <f>(CB59-I59)*12/365.25</f>
        <v>5.6509240246406574</v>
      </c>
      <c r="CD59" s="116">
        <f>CC59*365.25/12</f>
        <v>172</v>
      </c>
      <c r="CE59" s="132">
        <v>0</v>
      </c>
      <c r="CF59" s="126">
        <v>0</v>
      </c>
      <c r="CG59" s="100">
        <v>5</v>
      </c>
      <c r="CH59" s="115">
        <f>121.02+24.78</f>
        <v>145.80000000000001</v>
      </c>
      <c r="CI59" s="126" t="s">
        <v>37</v>
      </c>
      <c r="CJ59" s="126" t="s">
        <v>41</v>
      </c>
      <c r="CK59" s="126" t="s">
        <v>363</v>
      </c>
      <c r="CL59" s="126"/>
      <c r="CM59" s="126" t="s">
        <v>389</v>
      </c>
      <c r="CN59" s="110">
        <v>35874</v>
      </c>
      <c r="CO59" s="100">
        <v>1</v>
      </c>
      <c r="CP59" s="100">
        <f>(CN59-AP59)*12/365.25</f>
        <v>4.59958932238193</v>
      </c>
      <c r="CQ59" s="100" t="s">
        <v>408</v>
      </c>
      <c r="CR59" s="126"/>
    </row>
    <row r="60" spans="1:96" s="113" customFormat="1" ht="25.5">
      <c r="A60" s="119" t="s">
        <v>206</v>
      </c>
      <c r="B60" s="119" t="s">
        <v>207</v>
      </c>
      <c r="C60" s="120">
        <v>6</v>
      </c>
      <c r="D60" s="96">
        <v>58</v>
      </c>
      <c r="E60" s="120">
        <v>9700</v>
      </c>
      <c r="F60" s="121">
        <v>18336</v>
      </c>
      <c r="G60" s="122">
        <v>1270584</v>
      </c>
      <c r="H60" s="123" t="s">
        <v>121</v>
      </c>
      <c r="I60" s="124">
        <v>35747</v>
      </c>
      <c r="J60" s="122">
        <f t="shared" si="29"/>
        <v>47.668720054757017</v>
      </c>
      <c r="K60" s="125">
        <v>1</v>
      </c>
      <c r="L60" s="123" t="s">
        <v>49</v>
      </c>
      <c r="M60" s="119" t="s">
        <v>64</v>
      </c>
      <c r="N60" s="120" t="s">
        <v>107</v>
      </c>
      <c r="O60" s="120">
        <v>1</v>
      </c>
      <c r="P60" s="120">
        <v>0</v>
      </c>
      <c r="Q60" s="120">
        <v>0</v>
      </c>
      <c r="R60" s="120">
        <v>0</v>
      </c>
      <c r="S60" s="120">
        <v>0</v>
      </c>
      <c r="T60" s="126" t="s">
        <v>155</v>
      </c>
      <c r="U60" s="103" t="s">
        <v>402</v>
      </c>
      <c r="V60" s="103">
        <v>1</v>
      </c>
      <c r="W60" s="103">
        <v>0</v>
      </c>
      <c r="X60" s="103">
        <v>0</v>
      </c>
      <c r="Y60" s="103">
        <v>0</v>
      </c>
      <c r="Z60" s="103">
        <v>0</v>
      </c>
      <c r="AA60" s="103">
        <v>0</v>
      </c>
      <c r="AB60" s="105">
        <v>35404</v>
      </c>
      <c r="AC60" s="105">
        <v>35404</v>
      </c>
      <c r="AD60" s="106">
        <f t="shared" si="30"/>
        <v>0</v>
      </c>
      <c r="AE60" s="106">
        <v>1</v>
      </c>
      <c r="AF60" s="106">
        <v>1</v>
      </c>
      <c r="AG60" s="105" t="s">
        <v>389</v>
      </c>
      <c r="AH60" s="100">
        <v>1</v>
      </c>
      <c r="AI60" s="127" t="s">
        <v>315</v>
      </c>
      <c r="AJ60" s="105">
        <v>35633</v>
      </c>
      <c r="AK60" s="106">
        <f t="shared" si="31"/>
        <v>3.7453798767967146</v>
      </c>
      <c r="AL60" s="106">
        <f t="shared" si="32"/>
        <v>7.5236139630390149</v>
      </c>
      <c r="AM60" s="106">
        <f t="shared" si="33"/>
        <v>11.268993839835728</v>
      </c>
      <c r="AN60" s="102">
        <v>1</v>
      </c>
      <c r="AO60" s="102">
        <v>1</v>
      </c>
      <c r="AP60" s="128">
        <v>35797</v>
      </c>
      <c r="AQ60" s="128">
        <v>35818</v>
      </c>
      <c r="AR60" s="129">
        <f t="shared" si="34"/>
        <v>3</v>
      </c>
      <c r="AS60" s="109">
        <v>16</v>
      </c>
      <c r="AT60" s="109">
        <v>3</v>
      </c>
      <c r="AU60" s="109">
        <f t="shared" si="52"/>
        <v>48</v>
      </c>
      <c r="AV60" s="109">
        <v>0</v>
      </c>
      <c r="AW60" s="109">
        <v>0</v>
      </c>
      <c r="AX60" s="109">
        <v>1</v>
      </c>
      <c r="AY60" s="109">
        <v>0</v>
      </c>
      <c r="AZ60" s="109">
        <v>0</v>
      </c>
      <c r="BA60" s="109">
        <v>0</v>
      </c>
      <c r="BB60" s="109">
        <v>0</v>
      </c>
      <c r="BC60" s="109">
        <v>1</v>
      </c>
      <c r="BD60" s="125">
        <v>1</v>
      </c>
      <c r="BE60" s="131">
        <v>35951</v>
      </c>
      <c r="BF60" s="124"/>
      <c r="BG60" s="124">
        <f t="shared" si="44"/>
        <v>35951</v>
      </c>
      <c r="BH60" s="124"/>
      <c r="BI60" s="102" t="s">
        <v>290</v>
      </c>
      <c r="BJ60" s="100">
        <f t="shared" si="35"/>
        <v>6.7022587268993838</v>
      </c>
      <c r="BK60" s="100">
        <f t="shared" si="36"/>
        <v>204</v>
      </c>
      <c r="BL60" s="100">
        <v>1</v>
      </c>
      <c r="BM60" s="110">
        <v>35876</v>
      </c>
      <c r="BN60" s="100">
        <f t="shared" si="48"/>
        <v>1.9055441478439425</v>
      </c>
      <c r="BO60" s="100">
        <f t="shared" si="49"/>
        <v>4.2381930184804926</v>
      </c>
      <c r="BP60" s="100">
        <f t="shared" si="37"/>
        <v>129</v>
      </c>
      <c r="BQ60" s="100">
        <v>1</v>
      </c>
      <c r="BR60" s="110">
        <v>35876</v>
      </c>
      <c r="BS60" s="106">
        <f t="shared" si="50"/>
        <v>4.2381930184804926</v>
      </c>
      <c r="BT60" s="100">
        <f t="shared" si="45"/>
        <v>129</v>
      </c>
      <c r="BU60" s="100">
        <v>1</v>
      </c>
      <c r="BV60" s="100"/>
      <c r="BW60" s="100"/>
      <c r="BX60" s="110">
        <f>BR60</f>
        <v>35876</v>
      </c>
      <c r="BY60" s="100">
        <f t="shared" si="46"/>
        <v>4.2381930184804926</v>
      </c>
      <c r="BZ60" s="100">
        <f t="shared" si="47"/>
        <v>129</v>
      </c>
      <c r="CA60" s="100">
        <f t="shared" si="41"/>
        <v>1</v>
      </c>
      <c r="CB60" s="110">
        <f t="shared" ref="CB60:CD61" si="53">BX60</f>
        <v>35876</v>
      </c>
      <c r="CC60" s="100">
        <f t="shared" si="53"/>
        <v>4.2381930184804926</v>
      </c>
      <c r="CD60" s="100">
        <f t="shared" si="53"/>
        <v>129</v>
      </c>
      <c r="CE60" s="132" t="s">
        <v>38</v>
      </c>
      <c r="CF60" s="126" t="s">
        <v>38</v>
      </c>
      <c r="CG60" s="100">
        <v>5</v>
      </c>
      <c r="CH60" s="115">
        <v>240</v>
      </c>
      <c r="CI60" s="126" t="s">
        <v>302</v>
      </c>
      <c r="CJ60" s="126" t="s">
        <v>38</v>
      </c>
      <c r="CK60" s="126" t="s">
        <v>38</v>
      </c>
      <c r="CL60" s="126"/>
      <c r="CM60" s="126" t="s">
        <v>408</v>
      </c>
      <c r="CN60" s="110"/>
      <c r="CO60" s="100">
        <v>0</v>
      </c>
      <c r="CP60" s="110"/>
      <c r="CQ60" s="110" t="s">
        <v>408</v>
      </c>
      <c r="CR60" s="126"/>
    </row>
    <row r="61" spans="1:96" s="113" customFormat="1" ht="25.5">
      <c r="A61" s="119" t="s">
        <v>284</v>
      </c>
      <c r="B61" s="119" t="s">
        <v>123</v>
      </c>
      <c r="C61" s="120">
        <v>8</v>
      </c>
      <c r="D61" s="96">
        <v>59</v>
      </c>
      <c r="E61" s="120">
        <v>9700</v>
      </c>
      <c r="F61" s="121">
        <v>17868</v>
      </c>
      <c r="G61" s="122">
        <v>2051327</v>
      </c>
      <c r="H61" s="123" t="s">
        <v>121</v>
      </c>
      <c r="I61" s="124">
        <v>35815</v>
      </c>
      <c r="J61" s="122">
        <f t="shared" si="29"/>
        <v>49.13620807665982</v>
      </c>
      <c r="K61" s="125">
        <v>1</v>
      </c>
      <c r="L61" s="123" t="s">
        <v>49</v>
      </c>
      <c r="M61" s="119" t="s">
        <v>64</v>
      </c>
      <c r="N61" s="120" t="s">
        <v>107</v>
      </c>
      <c r="O61" s="120">
        <v>1</v>
      </c>
      <c r="P61" s="120">
        <v>0</v>
      </c>
      <c r="Q61" s="120">
        <v>0</v>
      </c>
      <c r="R61" s="120">
        <v>0</v>
      </c>
      <c r="S61" s="120">
        <v>0</v>
      </c>
      <c r="T61" s="126" t="s">
        <v>155</v>
      </c>
      <c r="U61" s="103" t="s">
        <v>402</v>
      </c>
      <c r="V61" s="103">
        <v>1</v>
      </c>
      <c r="W61" s="103">
        <v>0</v>
      </c>
      <c r="X61" s="103">
        <v>0</v>
      </c>
      <c r="Y61" s="103">
        <v>0</v>
      </c>
      <c r="Z61" s="103">
        <v>0</v>
      </c>
      <c r="AA61" s="103">
        <v>0</v>
      </c>
      <c r="AB61" s="105">
        <v>34181</v>
      </c>
      <c r="AC61" s="105">
        <v>34833</v>
      </c>
      <c r="AD61" s="106">
        <f t="shared" si="30"/>
        <v>21.420944558521562</v>
      </c>
      <c r="AE61" s="106">
        <v>1</v>
      </c>
      <c r="AF61" s="106">
        <v>1</v>
      </c>
      <c r="AG61" s="105" t="s">
        <v>387</v>
      </c>
      <c r="AH61" s="100">
        <v>1</v>
      </c>
      <c r="AI61" s="127" t="s">
        <v>315</v>
      </c>
      <c r="AJ61" s="105">
        <v>34911</v>
      </c>
      <c r="AK61" s="106">
        <f t="shared" si="31"/>
        <v>29.700205338809035</v>
      </c>
      <c r="AL61" s="106">
        <f t="shared" si="32"/>
        <v>2.5626283367556466</v>
      </c>
      <c r="AM61" s="106">
        <f t="shared" si="33"/>
        <v>53.68377823408624</v>
      </c>
      <c r="AN61" s="102">
        <v>5</v>
      </c>
      <c r="AO61" s="102">
        <v>0</v>
      </c>
      <c r="AP61" s="128">
        <v>35825</v>
      </c>
      <c r="AQ61" s="128">
        <v>35847</v>
      </c>
      <c r="AR61" s="129">
        <f t="shared" si="34"/>
        <v>3.1428571428571428</v>
      </c>
      <c r="AS61" s="109">
        <v>10</v>
      </c>
      <c r="AT61" s="109">
        <v>5</v>
      </c>
      <c r="AU61" s="109">
        <f t="shared" si="52"/>
        <v>50</v>
      </c>
      <c r="AV61" s="109">
        <v>0</v>
      </c>
      <c r="AW61" s="109">
        <v>0</v>
      </c>
      <c r="AX61" s="109">
        <v>1</v>
      </c>
      <c r="AY61" s="109">
        <v>0</v>
      </c>
      <c r="AZ61" s="109">
        <v>0</v>
      </c>
      <c r="BA61" s="109">
        <v>0</v>
      </c>
      <c r="BB61" s="109">
        <v>0</v>
      </c>
      <c r="BC61" s="109">
        <v>1</v>
      </c>
      <c r="BD61" s="125">
        <v>1</v>
      </c>
      <c r="BE61" s="131">
        <v>36245</v>
      </c>
      <c r="BF61" s="124"/>
      <c r="BG61" s="124">
        <f t="shared" si="44"/>
        <v>36245</v>
      </c>
      <c r="BH61" s="124"/>
      <c r="BI61" s="102" t="s">
        <v>290</v>
      </c>
      <c r="BJ61" s="100">
        <f t="shared" si="35"/>
        <v>14.127310061601644</v>
      </c>
      <c r="BK61" s="100">
        <f t="shared" si="36"/>
        <v>430.00000000000006</v>
      </c>
      <c r="BL61" s="100">
        <v>0</v>
      </c>
      <c r="BM61" s="110"/>
      <c r="BN61" s="100"/>
      <c r="BO61" s="100">
        <f>BJ61</f>
        <v>14.127310061601644</v>
      </c>
      <c r="BP61" s="100">
        <f t="shared" si="37"/>
        <v>430.00000000000006</v>
      </c>
      <c r="BQ61" s="100">
        <v>1</v>
      </c>
      <c r="BR61" s="110">
        <v>36117</v>
      </c>
      <c r="BS61" s="106">
        <f t="shared" si="50"/>
        <v>9.9219712525667347</v>
      </c>
      <c r="BT61" s="100">
        <f t="shared" si="45"/>
        <v>302</v>
      </c>
      <c r="BU61" s="100">
        <f>BQ61+BL61</f>
        <v>1</v>
      </c>
      <c r="BV61" s="100"/>
      <c r="BW61" s="100"/>
      <c r="BX61" s="110">
        <f>BR61</f>
        <v>36117</v>
      </c>
      <c r="BY61" s="100">
        <f t="shared" si="46"/>
        <v>9.9219712525667347</v>
      </c>
      <c r="BZ61" s="100">
        <f t="shared" si="47"/>
        <v>302</v>
      </c>
      <c r="CA61" s="100">
        <f t="shared" si="41"/>
        <v>1</v>
      </c>
      <c r="CB61" s="110">
        <f t="shared" si="53"/>
        <v>36117</v>
      </c>
      <c r="CC61" s="100">
        <f t="shared" si="53"/>
        <v>9.9219712525667347</v>
      </c>
      <c r="CD61" s="100">
        <f t="shared" si="53"/>
        <v>302</v>
      </c>
      <c r="CE61" s="132" t="s">
        <v>38</v>
      </c>
      <c r="CF61" s="126" t="s">
        <v>38</v>
      </c>
      <c r="CG61" s="100">
        <v>2</v>
      </c>
      <c r="CH61" s="115">
        <f>8.67+1.14+1.15+0.94+4.59</f>
        <v>16.490000000000002</v>
      </c>
      <c r="CI61" s="126" t="s">
        <v>201</v>
      </c>
      <c r="CJ61" s="126" t="s">
        <v>344</v>
      </c>
      <c r="CK61" s="126" t="s">
        <v>364</v>
      </c>
      <c r="CL61" s="126"/>
      <c r="CM61" s="126" t="s">
        <v>408</v>
      </c>
      <c r="CN61" s="110"/>
      <c r="CO61" s="100">
        <v>0</v>
      </c>
      <c r="CP61" s="110"/>
      <c r="CQ61" s="110" t="s">
        <v>408</v>
      </c>
      <c r="CR61" s="126"/>
    </row>
    <row r="62" spans="1:96" s="113" customFormat="1" ht="25.5">
      <c r="A62" s="119" t="s">
        <v>165</v>
      </c>
      <c r="B62" s="119" t="s">
        <v>23</v>
      </c>
      <c r="C62" s="120">
        <v>9</v>
      </c>
      <c r="D62" s="96">
        <v>60</v>
      </c>
      <c r="E62" s="120">
        <v>9700</v>
      </c>
      <c r="F62" s="121">
        <v>18080</v>
      </c>
      <c r="G62" s="122">
        <v>1636533</v>
      </c>
      <c r="H62" s="123" t="s">
        <v>121</v>
      </c>
      <c r="I62" s="124">
        <v>35866</v>
      </c>
      <c r="J62" s="122">
        <f t="shared" si="29"/>
        <v>48.695414099931554</v>
      </c>
      <c r="K62" s="125">
        <v>1</v>
      </c>
      <c r="L62" s="123" t="s">
        <v>49</v>
      </c>
      <c r="M62" s="119" t="s">
        <v>64</v>
      </c>
      <c r="N62" s="120" t="s">
        <v>107</v>
      </c>
      <c r="O62" s="120">
        <v>1</v>
      </c>
      <c r="P62" s="120">
        <v>0</v>
      </c>
      <c r="Q62" s="120">
        <v>0</v>
      </c>
      <c r="R62" s="120">
        <v>0</v>
      </c>
      <c r="S62" s="120">
        <v>0</v>
      </c>
      <c r="T62" s="126" t="s">
        <v>155</v>
      </c>
      <c r="U62" s="103" t="s">
        <v>402</v>
      </c>
      <c r="V62" s="103">
        <v>1</v>
      </c>
      <c r="W62" s="103">
        <v>0</v>
      </c>
      <c r="X62" s="103">
        <v>0</v>
      </c>
      <c r="Y62" s="103">
        <v>0</v>
      </c>
      <c r="Z62" s="103">
        <v>0</v>
      </c>
      <c r="AA62" s="103">
        <v>0</v>
      </c>
      <c r="AB62" s="105">
        <v>35509</v>
      </c>
      <c r="AC62" s="105">
        <v>35509</v>
      </c>
      <c r="AD62" s="106">
        <f t="shared" si="30"/>
        <v>0</v>
      </c>
      <c r="AE62" s="106">
        <v>0</v>
      </c>
      <c r="AF62" s="106">
        <v>1</v>
      </c>
      <c r="AG62" s="105" t="s">
        <v>389</v>
      </c>
      <c r="AH62" s="100">
        <v>1</v>
      </c>
      <c r="AI62" s="127" t="s">
        <v>315</v>
      </c>
      <c r="AJ62" s="105">
        <v>35509</v>
      </c>
      <c r="AK62" s="106">
        <f t="shared" si="31"/>
        <v>11.728952772073923</v>
      </c>
      <c r="AL62" s="106">
        <f t="shared" si="32"/>
        <v>0</v>
      </c>
      <c r="AM62" s="106">
        <f t="shared" si="33"/>
        <v>11.728952772073923</v>
      </c>
      <c r="AN62" s="102">
        <v>4</v>
      </c>
      <c r="AO62" s="102">
        <v>0</v>
      </c>
      <c r="AP62" s="128">
        <v>35900</v>
      </c>
      <c r="AQ62" s="128">
        <v>35913</v>
      </c>
      <c r="AR62" s="129">
        <f t="shared" si="34"/>
        <v>1.8571428571428572</v>
      </c>
      <c r="AS62" s="109">
        <v>10</v>
      </c>
      <c r="AT62" s="109">
        <v>5</v>
      </c>
      <c r="AU62" s="109">
        <f t="shared" si="52"/>
        <v>50</v>
      </c>
      <c r="AV62" s="109">
        <v>0</v>
      </c>
      <c r="AW62" s="109">
        <v>0</v>
      </c>
      <c r="AX62" s="109">
        <v>1</v>
      </c>
      <c r="AY62" s="109">
        <v>0</v>
      </c>
      <c r="AZ62" s="109">
        <v>0</v>
      </c>
      <c r="BA62" s="109">
        <v>0</v>
      </c>
      <c r="BB62" s="109">
        <v>0</v>
      </c>
      <c r="BC62" s="109">
        <v>1</v>
      </c>
      <c r="BD62" s="125">
        <v>1</v>
      </c>
      <c r="BE62" s="131">
        <v>36346</v>
      </c>
      <c r="BF62" s="124"/>
      <c r="BG62" s="124">
        <f t="shared" si="44"/>
        <v>36346</v>
      </c>
      <c r="BH62" s="124"/>
      <c r="BI62" s="102" t="s">
        <v>290</v>
      </c>
      <c r="BJ62" s="100">
        <f t="shared" si="35"/>
        <v>15.770020533880903</v>
      </c>
      <c r="BK62" s="100">
        <f t="shared" si="36"/>
        <v>480</v>
      </c>
      <c r="BL62" s="100">
        <v>1</v>
      </c>
      <c r="BM62" s="110">
        <v>36160</v>
      </c>
      <c r="BN62" s="100">
        <f>(BM62-AQ62)*12/365.25</f>
        <v>8.1149897330595486</v>
      </c>
      <c r="BO62" s="100">
        <f>(BM62-I62)*12/365.25</f>
        <v>9.6591375770020527</v>
      </c>
      <c r="BP62" s="100">
        <f t="shared" si="37"/>
        <v>293.99999999999994</v>
      </c>
      <c r="BQ62" s="100">
        <v>0</v>
      </c>
      <c r="BR62" s="110"/>
      <c r="BS62" s="106">
        <f>BJ62</f>
        <v>15.770020533880903</v>
      </c>
      <c r="BT62" s="100">
        <f t="shared" si="45"/>
        <v>480</v>
      </c>
      <c r="BU62" s="100">
        <f>BQ62+BL62</f>
        <v>1</v>
      </c>
      <c r="BV62" s="100"/>
      <c r="BW62" s="100"/>
      <c r="BX62" s="110">
        <f>BM62</f>
        <v>36160</v>
      </c>
      <c r="BY62" s="100">
        <f t="shared" si="46"/>
        <v>9.6591375770020527</v>
      </c>
      <c r="BZ62" s="100">
        <f t="shared" si="47"/>
        <v>293.99999999999994</v>
      </c>
      <c r="CA62" s="116">
        <v>0</v>
      </c>
      <c r="CB62" s="117">
        <f>BG62</f>
        <v>36346</v>
      </c>
      <c r="CC62" s="116">
        <f>(CB62-I62)*12/365.25</f>
        <v>15.770020533880903</v>
      </c>
      <c r="CD62" s="116">
        <f>CC62*365.25/12</f>
        <v>480</v>
      </c>
      <c r="CE62" s="132" t="s">
        <v>38</v>
      </c>
      <c r="CF62" s="126" t="s">
        <v>38</v>
      </c>
      <c r="CG62" s="100">
        <v>3</v>
      </c>
      <c r="CH62" s="115">
        <f>14.45+6.69+6.38+1.83+7.09</f>
        <v>36.44</v>
      </c>
      <c r="CI62" s="126" t="s">
        <v>273</v>
      </c>
      <c r="CJ62" s="126" t="s">
        <v>252</v>
      </c>
      <c r="CK62" s="126" t="s">
        <v>363</v>
      </c>
      <c r="CL62" s="126"/>
      <c r="CM62" s="126" t="s">
        <v>389</v>
      </c>
      <c r="CN62" s="110" t="s">
        <v>372</v>
      </c>
      <c r="CO62" s="100">
        <v>1</v>
      </c>
      <c r="CP62" s="100">
        <f>(CN62-AP62)*12/365.25</f>
        <v>9.1991786447638599</v>
      </c>
      <c r="CQ62" s="100" t="s">
        <v>408</v>
      </c>
      <c r="CR62" s="126"/>
    </row>
    <row r="63" spans="1:96" ht="38.25">
      <c r="A63" s="119" t="s">
        <v>329</v>
      </c>
      <c r="B63" s="119" t="s">
        <v>330</v>
      </c>
      <c r="C63" s="120">
        <v>12</v>
      </c>
      <c r="D63" s="96">
        <v>61</v>
      </c>
      <c r="E63" s="120">
        <v>9700</v>
      </c>
      <c r="F63" s="121">
        <v>19961</v>
      </c>
      <c r="G63" s="122">
        <v>2067602</v>
      </c>
      <c r="H63" s="123" t="s">
        <v>121</v>
      </c>
      <c r="I63" s="124">
        <v>35886</v>
      </c>
      <c r="J63" s="122">
        <f t="shared" si="29"/>
        <v>43.600273785078713</v>
      </c>
      <c r="K63" s="125">
        <v>1</v>
      </c>
      <c r="L63" s="123" t="s">
        <v>49</v>
      </c>
      <c r="M63" s="119" t="s">
        <v>64</v>
      </c>
      <c r="N63" s="120" t="s">
        <v>107</v>
      </c>
      <c r="O63" s="120">
        <v>1</v>
      </c>
      <c r="P63" s="120">
        <v>0</v>
      </c>
      <c r="Q63" s="120">
        <v>0</v>
      </c>
      <c r="R63" s="120">
        <v>0</v>
      </c>
      <c r="S63" s="120">
        <v>0</v>
      </c>
      <c r="T63" s="126" t="s">
        <v>155</v>
      </c>
      <c r="U63" s="103" t="s">
        <v>402</v>
      </c>
      <c r="V63" s="103">
        <v>1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5">
        <v>35260</v>
      </c>
      <c r="AC63" s="105">
        <v>35703</v>
      </c>
      <c r="AD63" s="106">
        <f t="shared" si="30"/>
        <v>14.55441478439425</v>
      </c>
      <c r="AE63" s="106">
        <v>1</v>
      </c>
      <c r="AF63" s="106">
        <v>0</v>
      </c>
      <c r="AG63" s="105" t="s">
        <v>387</v>
      </c>
      <c r="AH63" s="100">
        <v>1</v>
      </c>
      <c r="AI63" s="127" t="s">
        <v>208</v>
      </c>
      <c r="AJ63" s="105">
        <v>35866</v>
      </c>
      <c r="AK63" s="106">
        <f t="shared" si="31"/>
        <v>0.65708418891170428</v>
      </c>
      <c r="AL63" s="106">
        <f t="shared" si="32"/>
        <v>5.3552361396303905</v>
      </c>
      <c r="AM63" s="106">
        <f t="shared" si="33"/>
        <v>20.566735112936346</v>
      </c>
      <c r="AN63" s="102">
        <v>3</v>
      </c>
      <c r="AO63" s="102">
        <v>0</v>
      </c>
      <c r="AP63" s="128">
        <v>36237</v>
      </c>
      <c r="AQ63" s="128">
        <v>36274</v>
      </c>
      <c r="AR63" s="129">
        <f t="shared" si="34"/>
        <v>5.2857142857142856</v>
      </c>
      <c r="AS63" s="109">
        <v>21</v>
      </c>
      <c r="AT63" s="109">
        <v>2.5</v>
      </c>
      <c r="AU63" s="109">
        <f t="shared" si="52"/>
        <v>52.5</v>
      </c>
      <c r="AV63" s="109">
        <v>0</v>
      </c>
      <c r="AW63" s="109">
        <v>0</v>
      </c>
      <c r="AX63" s="109">
        <v>0</v>
      </c>
      <c r="AY63" s="109">
        <v>0</v>
      </c>
      <c r="AZ63" s="109">
        <v>0</v>
      </c>
      <c r="BA63" s="109">
        <v>0</v>
      </c>
      <c r="BB63" s="109">
        <v>1</v>
      </c>
      <c r="BC63" s="109">
        <v>1</v>
      </c>
      <c r="BD63" s="125">
        <v>1</v>
      </c>
      <c r="BE63" s="131">
        <v>36730</v>
      </c>
      <c r="BF63" s="124"/>
      <c r="BG63" s="124">
        <f t="shared" si="44"/>
        <v>36730</v>
      </c>
      <c r="BH63" s="124"/>
      <c r="BI63" s="102" t="s">
        <v>82</v>
      </c>
      <c r="BJ63" s="100">
        <f t="shared" si="35"/>
        <v>27.728952772073924</v>
      </c>
      <c r="BK63" s="100">
        <f t="shared" si="36"/>
        <v>844</v>
      </c>
      <c r="BL63" s="100">
        <v>0</v>
      </c>
      <c r="BM63" s="110"/>
      <c r="BN63" s="100"/>
      <c r="BO63" s="100">
        <f>BJ63</f>
        <v>27.728952772073924</v>
      </c>
      <c r="BP63" s="100">
        <f t="shared" si="37"/>
        <v>844</v>
      </c>
      <c r="BQ63" s="100">
        <v>1</v>
      </c>
      <c r="BR63" s="110">
        <v>36532</v>
      </c>
      <c r="BS63" s="106">
        <f>(BR63-I63)*12/365.25</f>
        <v>21.223819301848049</v>
      </c>
      <c r="BT63" s="100">
        <f t="shared" si="45"/>
        <v>646</v>
      </c>
      <c r="BU63" s="100">
        <f>BQ63+BL63</f>
        <v>1</v>
      </c>
      <c r="BV63" s="100"/>
      <c r="BW63" s="100"/>
      <c r="BX63" s="110">
        <f>BR63</f>
        <v>36532</v>
      </c>
      <c r="BY63" s="100">
        <f t="shared" si="46"/>
        <v>21.223819301848049</v>
      </c>
      <c r="BZ63" s="100">
        <f t="shared" si="47"/>
        <v>646</v>
      </c>
      <c r="CA63" s="100">
        <f t="shared" ref="CA63:CA94" si="54">BU63</f>
        <v>1</v>
      </c>
      <c r="CB63" s="110">
        <f t="shared" ref="CB63:CB71" si="55">BX63</f>
        <v>36532</v>
      </c>
      <c r="CC63" s="100">
        <f t="shared" ref="CC63:CC71" si="56">BY63</f>
        <v>21.223819301848049</v>
      </c>
      <c r="CD63" s="100">
        <f t="shared" ref="CD63:CD71" si="57">BZ63</f>
        <v>646</v>
      </c>
      <c r="CE63" s="132" t="s">
        <v>22</v>
      </c>
      <c r="CF63" s="126" t="s">
        <v>280</v>
      </c>
      <c r="CG63" s="100">
        <v>3</v>
      </c>
      <c r="CH63" s="115">
        <f>20.41+8.96+5.38+4.14</f>
        <v>38.89</v>
      </c>
      <c r="CI63" s="126" t="s">
        <v>215</v>
      </c>
      <c r="CJ63" s="126" t="s">
        <v>214</v>
      </c>
      <c r="CK63" s="126" t="s">
        <v>364</v>
      </c>
      <c r="CL63" s="126"/>
      <c r="CM63" s="126" t="s">
        <v>408</v>
      </c>
      <c r="CN63" s="110"/>
      <c r="CO63" s="100">
        <v>0</v>
      </c>
      <c r="CP63" s="110"/>
      <c r="CQ63" s="110" t="s">
        <v>408</v>
      </c>
      <c r="CR63" s="126"/>
    </row>
    <row r="64" spans="1:96" s="113" customFormat="1" ht="25.5">
      <c r="A64" s="119" t="s">
        <v>204</v>
      </c>
      <c r="B64" s="119" t="s">
        <v>112</v>
      </c>
      <c r="C64" s="120">
        <v>14</v>
      </c>
      <c r="D64" s="96">
        <v>62</v>
      </c>
      <c r="E64" s="120">
        <v>9700</v>
      </c>
      <c r="F64" s="121">
        <v>13632</v>
      </c>
      <c r="G64" s="122">
        <v>699756</v>
      </c>
      <c r="H64" s="123" t="s">
        <v>121</v>
      </c>
      <c r="I64" s="124">
        <v>35902</v>
      </c>
      <c r="J64" s="122">
        <f t="shared" si="29"/>
        <v>60.971937029431899</v>
      </c>
      <c r="K64" s="125">
        <v>0</v>
      </c>
      <c r="L64" s="123" t="s">
        <v>49</v>
      </c>
      <c r="M64" s="119" t="s">
        <v>64</v>
      </c>
      <c r="N64" s="120" t="s">
        <v>107</v>
      </c>
      <c r="O64" s="120">
        <v>1</v>
      </c>
      <c r="P64" s="120">
        <v>0</v>
      </c>
      <c r="Q64" s="120">
        <v>0</v>
      </c>
      <c r="R64" s="120">
        <v>0</v>
      </c>
      <c r="S64" s="120">
        <v>0</v>
      </c>
      <c r="T64" s="126" t="s">
        <v>155</v>
      </c>
      <c r="U64" s="103" t="s">
        <v>402</v>
      </c>
      <c r="V64" s="103">
        <v>1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5">
        <v>35369</v>
      </c>
      <c r="AC64" s="105">
        <v>35550</v>
      </c>
      <c r="AD64" s="106">
        <f t="shared" si="30"/>
        <v>5.9466119096509242</v>
      </c>
      <c r="AE64" s="106">
        <v>0</v>
      </c>
      <c r="AF64" s="106">
        <v>1</v>
      </c>
      <c r="AG64" s="105" t="s">
        <v>387</v>
      </c>
      <c r="AH64" s="100">
        <v>1</v>
      </c>
      <c r="AI64" s="127" t="s">
        <v>315</v>
      </c>
      <c r="AJ64" s="105">
        <v>35550</v>
      </c>
      <c r="AK64" s="106">
        <f t="shared" si="31"/>
        <v>11.564681724845997</v>
      </c>
      <c r="AL64" s="106">
        <f t="shared" si="32"/>
        <v>0</v>
      </c>
      <c r="AM64" s="106">
        <f t="shared" si="33"/>
        <v>17.511293634496919</v>
      </c>
      <c r="AN64" s="102">
        <v>2</v>
      </c>
      <c r="AO64" s="102">
        <v>0</v>
      </c>
      <c r="AP64" s="128">
        <v>35936</v>
      </c>
      <c r="AQ64" s="128">
        <v>35943</v>
      </c>
      <c r="AR64" s="129">
        <f t="shared" si="34"/>
        <v>1</v>
      </c>
      <c r="AS64" s="109">
        <v>5</v>
      </c>
      <c r="AT64" s="109">
        <v>3.5</v>
      </c>
      <c r="AU64" s="109">
        <f t="shared" si="52"/>
        <v>17.5</v>
      </c>
      <c r="AV64" s="109">
        <v>0</v>
      </c>
      <c r="AW64" s="109">
        <v>0</v>
      </c>
      <c r="AX64" s="109">
        <v>1</v>
      </c>
      <c r="AY64" s="109">
        <v>0</v>
      </c>
      <c r="AZ64" s="109">
        <v>0</v>
      </c>
      <c r="BA64" s="109">
        <v>0</v>
      </c>
      <c r="BB64" s="109">
        <v>0</v>
      </c>
      <c r="BC64" s="109">
        <v>1</v>
      </c>
      <c r="BD64" s="125">
        <v>1</v>
      </c>
      <c r="BE64" s="131">
        <v>36309</v>
      </c>
      <c r="BF64" s="124"/>
      <c r="BG64" s="124">
        <f t="shared" si="44"/>
        <v>36309</v>
      </c>
      <c r="BH64" s="124"/>
      <c r="BI64" s="102" t="s">
        <v>82</v>
      </c>
      <c r="BJ64" s="100">
        <f t="shared" si="35"/>
        <v>13.371663244353183</v>
      </c>
      <c r="BK64" s="100">
        <f t="shared" si="36"/>
        <v>407</v>
      </c>
      <c r="BL64" s="100">
        <v>1</v>
      </c>
      <c r="BM64" s="110">
        <v>35983</v>
      </c>
      <c r="BN64" s="100">
        <f>(BM64-AQ64)*12/365.25</f>
        <v>1.3141683778234086</v>
      </c>
      <c r="BO64" s="100">
        <f>(BM64-I64)*12/365.25</f>
        <v>2.6611909650924024</v>
      </c>
      <c r="BP64" s="100">
        <f t="shared" si="37"/>
        <v>81</v>
      </c>
      <c r="BQ64" s="100">
        <v>1</v>
      </c>
      <c r="BR64" s="110">
        <v>35983</v>
      </c>
      <c r="BS64" s="106">
        <f>(BR64-I64)*12/365.25</f>
        <v>2.6611909650924024</v>
      </c>
      <c r="BT64" s="100">
        <f t="shared" si="45"/>
        <v>81</v>
      </c>
      <c r="BU64" s="100">
        <v>1</v>
      </c>
      <c r="BV64" s="100"/>
      <c r="BW64" s="100"/>
      <c r="BX64" s="110">
        <f>BR64</f>
        <v>35983</v>
      </c>
      <c r="BY64" s="100">
        <f t="shared" si="46"/>
        <v>2.6611909650924024</v>
      </c>
      <c r="BZ64" s="100">
        <f t="shared" si="47"/>
        <v>81</v>
      </c>
      <c r="CA64" s="100">
        <f t="shared" si="54"/>
        <v>1</v>
      </c>
      <c r="CB64" s="110">
        <f t="shared" si="55"/>
        <v>35983</v>
      </c>
      <c r="CC64" s="100">
        <f t="shared" si="56"/>
        <v>2.6611909650924024</v>
      </c>
      <c r="CD64" s="100">
        <f t="shared" si="57"/>
        <v>81</v>
      </c>
      <c r="CE64" s="132" t="s">
        <v>22</v>
      </c>
      <c r="CF64" s="126" t="s">
        <v>141</v>
      </c>
      <c r="CG64" s="100">
        <v>5</v>
      </c>
      <c r="CH64" s="115">
        <f>117.76+13.14</f>
        <v>130.9</v>
      </c>
      <c r="CI64" s="126" t="s">
        <v>89</v>
      </c>
      <c r="CJ64" s="126" t="s">
        <v>38</v>
      </c>
      <c r="CK64" s="126" t="s">
        <v>38</v>
      </c>
      <c r="CL64" s="126"/>
      <c r="CM64" s="126" t="s">
        <v>408</v>
      </c>
      <c r="CN64" s="110"/>
      <c r="CO64" s="100">
        <v>0</v>
      </c>
      <c r="CP64" s="110"/>
      <c r="CQ64" s="110" t="s">
        <v>408</v>
      </c>
      <c r="CR64" s="126"/>
    </row>
    <row r="65" spans="1:96" s="113" customFormat="1">
      <c r="A65" s="119" t="s">
        <v>243</v>
      </c>
      <c r="B65" s="119" t="s">
        <v>171</v>
      </c>
      <c r="C65" s="120">
        <v>15</v>
      </c>
      <c r="D65" s="96">
        <v>63</v>
      </c>
      <c r="E65" s="120">
        <v>9700</v>
      </c>
      <c r="F65" s="121">
        <v>17660</v>
      </c>
      <c r="G65" s="122">
        <v>2059223</v>
      </c>
      <c r="H65" s="123" t="s">
        <v>121</v>
      </c>
      <c r="I65" s="124">
        <v>35906</v>
      </c>
      <c r="J65" s="122">
        <f t="shared" si="29"/>
        <v>49.954825462012323</v>
      </c>
      <c r="K65" s="125">
        <v>0</v>
      </c>
      <c r="L65" s="123" t="s">
        <v>49</v>
      </c>
      <c r="M65" s="119" t="s">
        <v>64</v>
      </c>
      <c r="N65" s="120" t="s">
        <v>107</v>
      </c>
      <c r="O65" s="120">
        <v>1</v>
      </c>
      <c r="P65" s="120">
        <v>0</v>
      </c>
      <c r="Q65" s="120">
        <v>0</v>
      </c>
      <c r="R65" s="120">
        <v>0</v>
      </c>
      <c r="S65" s="120">
        <v>0</v>
      </c>
      <c r="T65" s="126" t="s">
        <v>155</v>
      </c>
      <c r="U65" s="103" t="s">
        <v>402</v>
      </c>
      <c r="V65" s="103">
        <v>1</v>
      </c>
      <c r="W65" s="103">
        <v>0</v>
      </c>
      <c r="X65" s="103">
        <v>0</v>
      </c>
      <c r="Y65" s="103">
        <v>0</v>
      </c>
      <c r="Z65" s="103">
        <v>0</v>
      </c>
      <c r="AA65" s="103">
        <v>0</v>
      </c>
      <c r="AB65" s="105">
        <v>34408</v>
      </c>
      <c r="AC65" s="105">
        <v>35581</v>
      </c>
      <c r="AD65" s="106">
        <f t="shared" si="30"/>
        <v>38.53798767967146</v>
      </c>
      <c r="AE65" s="106">
        <v>0</v>
      </c>
      <c r="AF65" s="106">
        <v>0</v>
      </c>
      <c r="AG65" s="105" t="s">
        <v>387</v>
      </c>
      <c r="AH65" s="100">
        <v>1</v>
      </c>
      <c r="AI65" s="127" t="s">
        <v>327</v>
      </c>
      <c r="AJ65" s="105">
        <v>35581</v>
      </c>
      <c r="AK65" s="106">
        <f t="shared" si="31"/>
        <v>10.677618069815194</v>
      </c>
      <c r="AL65" s="106">
        <f t="shared" si="32"/>
        <v>0</v>
      </c>
      <c r="AM65" s="106">
        <f t="shared" si="33"/>
        <v>49.215605749486656</v>
      </c>
      <c r="AN65" s="102">
        <v>4</v>
      </c>
      <c r="AO65" s="102">
        <v>0</v>
      </c>
      <c r="AP65" s="128">
        <v>35915</v>
      </c>
      <c r="AQ65" s="128">
        <v>35955</v>
      </c>
      <c r="AR65" s="129">
        <f t="shared" si="34"/>
        <v>5.7142857142857144</v>
      </c>
      <c r="AS65" s="109">
        <v>10</v>
      </c>
      <c r="AT65" s="109">
        <v>5</v>
      </c>
      <c r="AU65" s="109">
        <f t="shared" si="52"/>
        <v>50</v>
      </c>
      <c r="AV65" s="109">
        <v>1</v>
      </c>
      <c r="AW65" s="109">
        <v>0</v>
      </c>
      <c r="AX65" s="109">
        <v>0</v>
      </c>
      <c r="AY65" s="109">
        <v>0</v>
      </c>
      <c r="AZ65" s="109">
        <v>0</v>
      </c>
      <c r="BA65" s="109">
        <v>0</v>
      </c>
      <c r="BB65" s="109">
        <v>0</v>
      </c>
      <c r="BC65" s="109">
        <v>1</v>
      </c>
      <c r="BD65" s="130">
        <v>1</v>
      </c>
      <c r="BE65" s="131">
        <v>37288</v>
      </c>
      <c r="BF65" s="124"/>
      <c r="BG65" s="124">
        <f t="shared" si="44"/>
        <v>37288</v>
      </c>
      <c r="BH65" s="124"/>
      <c r="BI65" s="102"/>
      <c r="BJ65" s="100">
        <f t="shared" si="35"/>
        <v>45.404517453798768</v>
      </c>
      <c r="BK65" s="100">
        <f t="shared" si="36"/>
        <v>1382</v>
      </c>
      <c r="BL65" s="100">
        <v>1</v>
      </c>
      <c r="BM65" s="110">
        <v>36326</v>
      </c>
      <c r="BN65" s="100">
        <f>(BM65-AQ65)*12/365.25</f>
        <v>12.188911704312115</v>
      </c>
      <c r="BO65" s="100">
        <f>(BM65-I65)*12/365.25</f>
        <v>13.798767967145791</v>
      </c>
      <c r="BP65" s="100">
        <f t="shared" si="37"/>
        <v>420</v>
      </c>
      <c r="BQ65" s="100"/>
      <c r="BR65" s="110" t="s">
        <v>400</v>
      </c>
      <c r="BS65" s="106"/>
      <c r="BT65" s="100"/>
      <c r="BU65" s="100">
        <f>BQ65+BL65</f>
        <v>1</v>
      </c>
      <c r="BV65" s="100"/>
      <c r="BW65" s="100"/>
      <c r="BX65" s="110">
        <f>BM65</f>
        <v>36326</v>
      </c>
      <c r="BY65" s="100">
        <f t="shared" si="46"/>
        <v>13.798767967145791</v>
      </c>
      <c r="BZ65" s="100">
        <f t="shared" si="47"/>
        <v>420</v>
      </c>
      <c r="CA65" s="100">
        <f t="shared" si="54"/>
        <v>1</v>
      </c>
      <c r="CB65" s="110">
        <f t="shared" si="55"/>
        <v>36326</v>
      </c>
      <c r="CC65" s="100">
        <f t="shared" si="56"/>
        <v>13.798767967145791</v>
      </c>
      <c r="CD65" s="100">
        <f t="shared" si="57"/>
        <v>420</v>
      </c>
      <c r="CE65" s="132" t="s">
        <v>38</v>
      </c>
      <c r="CF65" s="126" t="s">
        <v>38</v>
      </c>
      <c r="CG65" s="100">
        <v>3</v>
      </c>
      <c r="CH65" s="115">
        <f>12.82+3.97+13.09+17.33</f>
        <v>47.209999999999994</v>
      </c>
      <c r="CI65" s="126" t="s">
        <v>38</v>
      </c>
      <c r="CJ65" s="126" t="s">
        <v>38</v>
      </c>
      <c r="CK65" s="126" t="s">
        <v>38</v>
      </c>
      <c r="CL65" s="126"/>
      <c r="CM65" s="126" t="s">
        <v>408</v>
      </c>
      <c r="CN65" s="110"/>
      <c r="CO65" s="100">
        <v>0</v>
      </c>
      <c r="CP65" s="110"/>
      <c r="CQ65" s="110" t="s">
        <v>408</v>
      </c>
      <c r="CR65" s="126"/>
    </row>
    <row r="66" spans="1:96" s="60" customFormat="1" ht="25.5">
      <c r="A66" s="119" t="s">
        <v>85</v>
      </c>
      <c r="B66" s="119" t="s">
        <v>116</v>
      </c>
      <c r="C66" s="120">
        <v>17</v>
      </c>
      <c r="D66" s="96">
        <v>64</v>
      </c>
      <c r="E66" s="120">
        <v>9700</v>
      </c>
      <c r="F66" s="121">
        <v>9277</v>
      </c>
      <c r="G66" s="122">
        <v>583165</v>
      </c>
      <c r="H66" s="123" t="s">
        <v>121</v>
      </c>
      <c r="I66" s="124">
        <v>35928</v>
      </c>
      <c r="J66" s="122">
        <f t="shared" ref="J66:J97" si="58">(I66-F66)/365.25</f>
        <v>72.96646132785763</v>
      </c>
      <c r="K66" s="125">
        <v>0</v>
      </c>
      <c r="L66" s="123" t="s">
        <v>49</v>
      </c>
      <c r="M66" s="119" t="s">
        <v>219</v>
      </c>
      <c r="N66" s="120" t="s">
        <v>509</v>
      </c>
      <c r="O66" s="120">
        <v>0</v>
      </c>
      <c r="P66" s="120">
        <v>0</v>
      </c>
      <c r="Q66" s="120">
        <v>0</v>
      </c>
      <c r="R66" s="120">
        <v>0</v>
      </c>
      <c r="S66" s="120">
        <v>0</v>
      </c>
      <c r="T66" s="126" t="s">
        <v>35</v>
      </c>
      <c r="U66" s="103" t="s">
        <v>507</v>
      </c>
      <c r="V66" s="103">
        <v>0</v>
      </c>
      <c r="W66" s="103">
        <v>1</v>
      </c>
      <c r="X66" s="103">
        <v>0</v>
      </c>
      <c r="Y66" s="103">
        <v>0</v>
      </c>
      <c r="Z66" s="103">
        <v>0</v>
      </c>
      <c r="AA66" s="103">
        <v>0</v>
      </c>
      <c r="AB66" s="105">
        <v>35501</v>
      </c>
      <c r="AC66" s="105">
        <v>35703</v>
      </c>
      <c r="AD66" s="106">
        <f t="shared" ref="AD66:AD97" si="59">(AC66-AB66)/365.25*12</f>
        <v>6.6365503080082142</v>
      </c>
      <c r="AE66" s="106">
        <v>0</v>
      </c>
      <c r="AF66" s="106">
        <v>0</v>
      </c>
      <c r="AG66" s="105" t="s">
        <v>390</v>
      </c>
      <c r="AH66" s="100">
        <v>1</v>
      </c>
      <c r="AI66" s="127" t="s">
        <v>327</v>
      </c>
      <c r="AJ66" s="105">
        <v>35703</v>
      </c>
      <c r="AK66" s="106">
        <f t="shared" ref="AK66:AK97" si="60">(I66-AJ66)*12/365.25</f>
        <v>7.3921971252566738</v>
      </c>
      <c r="AL66" s="106">
        <f t="shared" ref="AL66:AL97" si="61">(AJ66-AC66)/365.25*12</f>
        <v>0</v>
      </c>
      <c r="AM66" s="106">
        <f t="shared" ref="AM66:AM97" si="62">(I66-AB66)*12/365.25</f>
        <v>14.028747433264886</v>
      </c>
      <c r="AN66" s="102">
        <v>3</v>
      </c>
      <c r="AO66" s="102">
        <v>0</v>
      </c>
      <c r="AP66" s="128">
        <v>35972</v>
      </c>
      <c r="AQ66" s="128">
        <v>35990</v>
      </c>
      <c r="AR66" s="129">
        <f t="shared" ref="AR66:AR97" si="63">(AQ66-AP66)/7</f>
        <v>2.5714285714285716</v>
      </c>
      <c r="AS66" s="109">
        <v>10</v>
      </c>
      <c r="AT66" s="109">
        <v>5</v>
      </c>
      <c r="AU66" s="109">
        <f t="shared" si="52"/>
        <v>50</v>
      </c>
      <c r="AV66" s="109">
        <v>1</v>
      </c>
      <c r="AW66" s="109">
        <v>1</v>
      </c>
      <c r="AX66" s="109">
        <v>0</v>
      </c>
      <c r="AY66" s="109">
        <v>0</v>
      </c>
      <c r="AZ66" s="109">
        <v>0</v>
      </c>
      <c r="BA66" s="109">
        <v>0</v>
      </c>
      <c r="BB66" s="109">
        <v>0</v>
      </c>
      <c r="BC66" s="109">
        <v>2</v>
      </c>
      <c r="BD66" s="125">
        <v>1</v>
      </c>
      <c r="BE66" s="131">
        <v>36158</v>
      </c>
      <c r="BF66" s="124"/>
      <c r="BG66" s="124">
        <f t="shared" si="44"/>
        <v>36158</v>
      </c>
      <c r="BH66" s="124"/>
      <c r="BI66" s="102" t="s">
        <v>82</v>
      </c>
      <c r="BJ66" s="100">
        <f t="shared" ref="BJ66:BJ97" si="64">(BG66-I66)/365.25*12</f>
        <v>7.5564681724845997</v>
      </c>
      <c r="BK66" s="100">
        <f t="shared" ref="BK66:BK97" si="65">BJ66*365.25/12</f>
        <v>230</v>
      </c>
      <c r="BL66" s="100">
        <v>0</v>
      </c>
      <c r="BM66" s="110"/>
      <c r="BN66" s="100"/>
      <c r="BO66" s="100">
        <f>BJ66</f>
        <v>7.5564681724845997</v>
      </c>
      <c r="BP66" s="100">
        <f t="shared" ref="BP66:BP97" si="66">BO66*365.25/12</f>
        <v>230</v>
      </c>
      <c r="BQ66" s="100">
        <v>1</v>
      </c>
      <c r="BR66" s="110">
        <v>36099</v>
      </c>
      <c r="BS66" s="106">
        <f>(BR66-I66)*12/365.25</f>
        <v>5.6180698151950716</v>
      </c>
      <c r="BT66" s="100">
        <f t="shared" ref="BT66:BT97" si="67">BS66*365.25/12</f>
        <v>171</v>
      </c>
      <c r="BU66" s="100">
        <f>BQ66+BL66</f>
        <v>1</v>
      </c>
      <c r="BV66" s="100"/>
      <c r="BW66" s="100"/>
      <c r="BX66" s="110">
        <f>BR66</f>
        <v>36099</v>
      </c>
      <c r="BY66" s="100">
        <f t="shared" si="46"/>
        <v>5.6180698151950716</v>
      </c>
      <c r="BZ66" s="100">
        <f t="shared" si="47"/>
        <v>171</v>
      </c>
      <c r="CA66" s="100">
        <f t="shared" si="54"/>
        <v>1</v>
      </c>
      <c r="CB66" s="110">
        <f t="shared" si="55"/>
        <v>36099</v>
      </c>
      <c r="CC66" s="100">
        <f t="shared" si="56"/>
        <v>5.6180698151950716</v>
      </c>
      <c r="CD66" s="100">
        <f t="shared" si="57"/>
        <v>171</v>
      </c>
      <c r="CE66" s="132" t="s">
        <v>22</v>
      </c>
      <c r="CF66" s="126" t="s">
        <v>36</v>
      </c>
      <c r="CG66" s="100">
        <v>2</v>
      </c>
      <c r="CH66" s="115">
        <v>12.35</v>
      </c>
      <c r="CI66" s="126" t="s">
        <v>315</v>
      </c>
      <c r="CJ66" s="126" t="s">
        <v>41</v>
      </c>
      <c r="CK66" s="126" t="s">
        <v>364</v>
      </c>
      <c r="CL66" s="126"/>
      <c r="CM66" s="126" t="s">
        <v>408</v>
      </c>
      <c r="CN66" s="110"/>
      <c r="CO66" s="100">
        <v>0</v>
      </c>
      <c r="CP66" s="110"/>
      <c r="CQ66" s="110" t="s">
        <v>408</v>
      </c>
      <c r="CR66" s="126"/>
    </row>
    <row r="67" spans="1:96" s="113" customFormat="1">
      <c r="A67" s="119" t="s">
        <v>117</v>
      </c>
      <c r="B67" s="119" t="s">
        <v>53</v>
      </c>
      <c r="C67" s="120">
        <v>18</v>
      </c>
      <c r="D67" s="96">
        <v>65</v>
      </c>
      <c r="E67" s="120">
        <v>9700</v>
      </c>
      <c r="F67" s="121">
        <v>15269</v>
      </c>
      <c r="G67" s="122">
        <v>2067090</v>
      </c>
      <c r="H67" s="123" t="s">
        <v>121</v>
      </c>
      <c r="I67" s="124">
        <v>35929</v>
      </c>
      <c r="J67" s="122">
        <f t="shared" si="58"/>
        <v>56.563997262149215</v>
      </c>
      <c r="K67" s="125">
        <v>0</v>
      </c>
      <c r="L67" s="123" t="s">
        <v>49</v>
      </c>
      <c r="M67" s="119" t="s">
        <v>220</v>
      </c>
      <c r="N67" s="120" t="s">
        <v>510</v>
      </c>
      <c r="O67" s="120">
        <v>0</v>
      </c>
      <c r="P67" s="120">
        <v>1</v>
      </c>
      <c r="Q67" s="120">
        <v>0</v>
      </c>
      <c r="R67" s="120">
        <v>0</v>
      </c>
      <c r="S67" s="120">
        <v>0</v>
      </c>
      <c r="T67" s="126" t="s">
        <v>155</v>
      </c>
      <c r="U67" s="103" t="s">
        <v>402</v>
      </c>
      <c r="V67" s="103">
        <v>1</v>
      </c>
      <c r="W67" s="103">
        <v>0</v>
      </c>
      <c r="X67" s="103">
        <v>0</v>
      </c>
      <c r="Y67" s="103">
        <v>0</v>
      </c>
      <c r="Z67" s="103">
        <v>0</v>
      </c>
      <c r="AA67" s="103">
        <v>0</v>
      </c>
      <c r="AB67" s="105">
        <v>35472</v>
      </c>
      <c r="AC67" s="105">
        <v>35732</v>
      </c>
      <c r="AD67" s="106">
        <f t="shared" si="59"/>
        <v>8.5420944558521548</v>
      </c>
      <c r="AE67" s="106">
        <v>0</v>
      </c>
      <c r="AF67" s="106">
        <v>0</v>
      </c>
      <c r="AG67" s="105" t="s">
        <v>387</v>
      </c>
      <c r="AH67" s="100">
        <v>1</v>
      </c>
      <c r="AI67" s="127" t="s">
        <v>315</v>
      </c>
      <c r="AJ67" s="105">
        <v>35732</v>
      </c>
      <c r="AK67" s="106">
        <f t="shared" si="60"/>
        <v>6.4722792607802875</v>
      </c>
      <c r="AL67" s="106">
        <f t="shared" si="61"/>
        <v>0</v>
      </c>
      <c r="AM67" s="106">
        <f t="shared" si="62"/>
        <v>15.014373716632443</v>
      </c>
      <c r="AN67" s="102">
        <v>3</v>
      </c>
      <c r="AO67" s="102">
        <v>0</v>
      </c>
      <c r="AP67" s="128">
        <v>35943</v>
      </c>
      <c r="AQ67" s="128">
        <v>35952</v>
      </c>
      <c r="AR67" s="129">
        <f t="shared" si="63"/>
        <v>1.2857142857142858</v>
      </c>
      <c r="AS67" s="109">
        <v>8</v>
      </c>
      <c r="AT67" s="109">
        <v>3</v>
      </c>
      <c r="AU67" s="109">
        <f t="shared" si="52"/>
        <v>24</v>
      </c>
      <c r="AV67" s="109">
        <v>0</v>
      </c>
      <c r="AW67" s="109">
        <v>0</v>
      </c>
      <c r="AX67" s="109">
        <v>1</v>
      </c>
      <c r="AY67" s="109">
        <v>0</v>
      </c>
      <c r="AZ67" s="109">
        <v>0</v>
      </c>
      <c r="BA67" s="109">
        <v>0</v>
      </c>
      <c r="BB67" s="109">
        <v>0</v>
      </c>
      <c r="BC67" s="109">
        <v>1</v>
      </c>
      <c r="BD67" s="130">
        <v>1</v>
      </c>
      <c r="BE67" s="131">
        <v>36021</v>
      </c>
      <c r="BF67" s="124"/>
      <c r="BG67" s="124">
        <f t="shared" si="44"/>
        <v>36021</v>
      </c>
      <c r="BH67" s="124"/>
      <c r="BI67" s="102" t="s">
        <v>514</v>
      </c>
      <c r="BJ67" s="100">
        <f t="shared" si="64"/>
        <v>3.0225872689938393</v>
      </c>
      <c r="BK67" s="100">
        <f t="shared" si="65"/>
        <v>91.999999999999986</v>
      </c>
      <c r="BL67" s="100">
        <v>1</v>
      </c>
      <c r="BM67" s="110">
        <v>35962</v>
      </c>
      <c r="BN67" s="100">
        <f>(BM67-AQ67)*12/365.25</f>
        <v>0.32854209445585214</v>
      </c>
      <c r="BO67" s="100">
        <f>(BM67-I67)*12/365.25</f>
        <v>1.0841889117043122</v>
      </c>
      <c r="BP67" s="100">
        <f t="shared" si="66"/>
        <v>33.000000000000007</v>
      </c>
      <c r="BQ67" s="100">
        <v>0</v>
      </c>
      <c r="BR67" s="110"/>
      <c r="BS67" s="106">
        <f>BJ67</f>
        <v>3.0225872689938393</v>
      </c>
      <c r="BT67" s="100">
        <f t="shared" si="67"/>
        <v>91.999999999999986</v>
      </c>
      <c r="BU67" s="100">
        <v>1</v>
      </c>
      <c r="BV67" s="100"/>
      <c r="BW67" s="100"/>
      <c r="BX67" s="110">
        <f>BM67</f>
        <v>35962</v>
      </c>
      <c r="BY67" s="100">
        <f t="shared" si="46"/>
        <v>1.0841889117043122</v>
      </c>
      <c r="BZ67" s="100">
        <f t="shared" si="47"/>
        <v>33.000000000000007</v>
      </c>
      <c r="CA67" s="100">
        <f t="shared" si="54"/>
        <v>1</v>
      </c>
      <c r="CB67" s="110">
        <f t="shared" si="55"/>
        <v>35962</v>
      </c>
      <c r="CC67" s="100">
        <f t="shared" si="56"/>
        <v>1.0841889117043122</v>
      </c>
      <c r="CD67" s="100">
        <f t="shared" si="57"/>
        <v>33.000000000000007</v>
      </c>
      <c r="CE67" s="132" t="s">
        <v>87</v>
      </c>
      <c r="CF67" s="126" t="s">
        <v>87</v>
      </c>
      <c r="CG67" s="100">
        <v>5</v>
      </c>
      <c r="CH67" s="115">
        <f>217+168+12</f>
        <v>397</v>
      </c>
      <c r="CI67" s="126" t="s">
        <v>38</v>
      </c>
      <c r="CJ67" s="126" t="s">
        <v>38</v>
      </c>
      <c r="CK67" s="126" t="s">
        <v>38</v>
      </c>
      <c r="CL67" s="126"/>
      <c r="CM67" s="126" t="s">
        <v>408</v>
      </c>
      <c r="CN67" s="110"/>
      <c r="CO67" s="100">
        <v>0</v>
      </c>
      <c r="CP67" s="110"/>
      <c r="CQ67" s="110" t="s">
        <v>408</v>
      </c>
      <c r="CR67" s="126"/>
    </row>
    <row r="68" spans="1:96" s="113" customFormat="1" ht="63.75">
      <c r="A68" s="119" t="s">
        <v>3</v>
      </c>
      <c r="B68" s="119" t="s">
        <v>242</v>
      </c>
      <c r="C68" s="120">
        <v>20</v>
      </c>
      <c r="D68" s="96">
        <v>66</v>
      </c>
      <c r="E68" s="120">
        <v>9700</v>
      </c>
      <c r="F68" s="121">
        <v>15169</v>
      </c>
      <c r="G68" s="122">
        <v>546823</v>
      </c>
      <c r="H68" s="123" t="s">
        <v>121</v>
      </c>
      <c r="I68" s="124">
        <v>35944</v>
      </c>
      <c r="J68" s="122">
        <f t="shared" si="58"/>
        <v>56.878850102669404</v>
      </c>
      <c r="K68" s="125">
        <v>1</v>
      </c>
      <c r="L68" s="123" t="s">
        <v>170</v>
      </c>
      <c r="M68" s="119" t="s">
        <v>238</v>
      </c>
      <c r="N68" s="120" t="s">
        <v>509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6" t="s">
        <v>10</v>
      </c>
      <c r="U68" s="103" t="s">
        <v>509</v>
      </c>
      <c r="V68" s="103">
        <v>0</v>
      </c>
      <c r="W68" s="103">
        <v>0</v>
      </c>
      <c r="X68" s="103">
        <v>0</v>
      </c>
      <c r="Y68" s="103">
        <v>0</v>
      </c>
      <c r="Z68" s="103">
        <v>0</v>
      </c>
      <c r="AA68" s="103">
        <v>0</v>
      </c>
      <c r="AB68" s="105">
        <v>33024</v>
      </c>
      <c r="AC68" s="105">
        <v>35489</v>
      </c>
      <c r="AD68" s="106">
        <f t="shared" si="59"/>
        <v>80.985626283367566</v>
      </c>
      <c r="AE68" s="106">
        <v>0</v>
      </c>
      <c r="AF68" s="106">
        <v>0</v>
      </c>
      <c r="AG68" s="105" t="s">
        <v>390</v>
      </c>
      <c r="AH68" s="100">
        <v>1</v>
      </c>
      <c r="AI68" s="127" t="s">
        <v>90</v>
      </c>
      <c r="AJ68" s="105">
        <v>35489</v>
      </c>
      <c r="AK68" s="106">
        <f t="shared" si="60"/>
        <v>14.948665297741274</v>
      </c>
      <c r="AL68" s="106">
        <f t="shared" si="61"/>
        <v>0</v>
      </c>
      <c r="AM68" s="106">
        <f t="shared" si="62"/>
        <v>95.934291581108823</v>
      </c>
      <c r="AN68" s="102">
        <v>1</v>
      </c>
      <c r="AO68" s="102">
        <v>1</v>
      </c>
      <c r="AP68" s="128">
        <v>35956</v>
      </c>
      <c r="AQ68" s="128">
        <v>35972</v>
      </c>
      <c r="AR68" s="129">
        <f t="shared" si="63"/>
        <v>2.2857142857142856</v>
      </c>
      <c r="AS68" s="109">
        <v>13</v>
      </c>
      <c r="AT68" s="109">
        <v>3</v>
      </c>
      <c r="AU68" s="109">
        <f t="shared" si="52"/>
        <v>39</v>
      </c>
      <c r="AV68" s="109">
        <v>0</v>
      </c>
      <c r="AW68" s="109">
        <v>0</v>
      </c>
      <c r="AX68" s="109">
        <v>1</v>
      </c>
      <c r="AY68" s="109">
        <v>0</v>
      </c>
      <c r="AZ68" s="109">
        <v>0</v>
      </c>
      <c r="BA68" s="109">
        <v>0</v>
      </c>
      <c r="BB68" s="109">
        <v>0</v>
      </c>
      <c r="BC68" s="109">
        <v>1</v>
      </c>
      <c r="BD68" s="130">
        <v>1</v>
      </c>
      <c r="BE68" s="131">
        <v>36384</v>
      </c>
      <c r="BF68" s="124"/>
      <c r="BG68" s="124">
        <f t="shared" si="44"/>
        <v>36384</v>
      </c>
      <c r="BH68" s="124"/>
      <c r="BI68" s="102" t="s">
        <v>82</v>
      </c>
      <c r="BJ68" s="100">
        <f t="shared" si="64"/>
        <v>14.455852156057494</v>
      </c>
      <c r="BK68" s="100">
        <f t="shared" si="65"/>
        <v>440</v>
      </c>
      <c r="BL68" s="100">
        <v>1</v>
      </c>
      <c r="BM68" s="110">
        <v>36155</v>
      </c>
      <c r="BN68" s="100">
        <f>(BM68-AQ68)*12/365.25</f>
        <v>6.0123203285420947</v>
      </c>
      <c r="BO68" s="100">
        <f>(BM68-I68)*12/365.25</f>
        <v>6.9322381930184802</v>
      </c>
      <c r="BP68" s="100">
        <f t="shared" si="66"/>
        <v>211</v>
      </c>
      <c r="BQ68" s="100">
        <v>1</v>
      </c>
      <c r="BR68" s="110">
        <v>36155</v>
      </c>
      <c r="BS68" s="106">
        <f>(BR68-I68)*12/365.25</f>
        <v>6.9322381930184802</v>
      </c>
      <c r="BT68" s="100">
        <f t="shared" si="67"/>
        <v>211</v>
      </c>
      <c r="BU68" s="100">
        <v>1</v>
      </c>
      <c r="BV68" s="100"/>
      <c r="BW68" s="100"/>
      <c r="BX68" s="110">
        <f>BR68</f>
        <v>36155</v>
      </c>
      <c r="BY68" s="100">
        <f t="shared" si="46"/>
        <v>6.9322381930184802</v>
      </c>
      <c r="BZ68" s="100">
        <f t="shared" si="47"/>
        <v>211</v>
      </c>
      <c r="CA68" s="100">
        <f t="shared" si="54"/>
        <v>1</v>
      </c>
      <c r="CB68" s="110">
        <f t="shared" si="55"/>
        <v>36155</v>
      </c>
      <c r="CC68" s="100">
        <f t="shared" si="56"/>
        <v>6.9322381930184802</v>
      </c>
      <c r="CD68" s="100">
        <f t="shared" si="57"/>
        <v>211</v>
      </c>
      <c r="CE68" s="132" t="s">
        <v>22</v>
      </c>
      <c r="CF68" s="126" t="s">
        <v>92</v>
      </c>
      <c r="CG68" s="100">
        <v>3</v>
      </c>
      <c r="CH68" s="115">
        <v>20.37</v>
      </c>
      <c r="CI68" s="126" t="s">
        <v>11</v>
      </c>
      <c r="CJ68" s="126" t="s">
        <v>38</v>
      </c>
      <c r="CK68" s="126" t="s">
        <v>38</v>
      </c>
      <c r="CL68" s="126"/>
      <c r="CM68" s="126" t="s">
        <v>408</v>
      </c>
      <c r="CN68" s="110"/>
      <c r="CO68" s="100">
        <v>0</v>
      </c>
      <c r="CP68" s="110"/>
      <c r="CQ68" s="110" t="s">
        <v>408</v>
      </c>
      <c r="CR68" s="126"/>
    </row>
    <row r="69" spans="1:96" s="113" customFormat="1" ht="25.5">
      <c r="A69" s="119" t="s">
        <v>282</v>
      </c>
      <c r="B69" s="119" t="s">
        <v>293</v>
      </c>
      <c r="C69" s="120">
        <v>21</v>
      </c>
      <c r="D69" s="96">
        <v>67</v>
      </c>
      <c r="E69" s="120">
        <v>9700</v>
      </c>
      <c r="F69" s="121">
        <v>15190</v>
      </c>
      <c r="G69" s="122">
        <v>1597855</v>
      </c>
      <c r="H69" s="123" t="s">
        <v>121</v>
      </c>
      <c r="I69" s="124">
        <v>35956</v>
      </c>
      <c r="J69" s="122">
        <f t="shared" si="58"/>
        <v>56.854209445585212</v>
      </c>
      <c r="K69" s="125">
        <v>1</v>
      </c>
      <c r="L69" s="123" t="s">
        <v>49</v>
      </c>
      <c r="M69" s="119" t="s">
        <v>64</v>
      </c>
      <c r="N69" s="120" t="s">
        <v>107</v>
      </c>
      <c r="O69" s="120">
        <v>1</v>
      </c>
      <c r="P69" s="120">
        <v>0</v>
      </c>
      <c r="Q69" s="120">
        <v>0</v>
      </c>
      <c r="R69" s="120">
        <v>0</v>
      </c>
      <c r="S69" s="120">
        <v>0</v>
      </c>
      <c r="T69" s="126" t="s">
        <v>155</v>
      </c>
      <c r="U69" s="103" t="s">
        <v>402</v>
      </c>
      <c r="V69" s="103">
        <v>1</v>
      </c>
      <c r="W69" s="103">
        <v>0</v>
      </c>
      <c r="X69" s="103">
        <v>0</v>
      </c>
      <c r="Y69" s="103">
        <v>0</v>
      </c>
      <c r="Z69" s="103">
        <v>0</v>
      </c>
      <c r="AA69" s="103">
        <v>0</v>
      </c>
      <c r="AB69" s="105">
        <v>33481</v>
      </c>
      <c r="AC69" s="105">
        <v>33481</v>
      </c>
      <c r="AD69" s="106">
        <f t="shared" si="59"/>
        <v>0</v>
      </c>
      <c r="AE69" s="106">
        <v>1</v>
      </c>
      <c r="AF69" s="106">
        <v>1</v>
      </c>
      <c r="AG69" s="105" t="s">
        <v>389</v>
      </c>
      <c r="AH69" s="100">
        <v>1</v>
      </c>
      <c r="AI69" s="127" t="s">
        <v>327</v>
      </c>
      <c r="AJ69" s="105">
        <v>35444</v>
      </c>
      <c r="AK69" s="106">
        <f t="shared" si="60"/>
        <v>16.821355236139631</v>
      </c>
      <c r="AL69" s="106">
        <f t="shared" si="61"/>
        <v>64.492813141683783</v>
      </c>
      <c r="AM69" s="106">
        <f t="shared" si="62"/>
        <v>81.314168377823407</v>
      </c>
      <c r="AN69" s="102">
        <v>4</v>
      </c>
      <c r="AO69" s="102">
        <v>0</v>
      </c>
      <c r="AP69" s="128">
        <v>36018</v>
      </c>
      <c r="AQ69" s="128">
        <v>36029</v>
      </c>
      <c r="AR69" s="129">
        <f t="shared" si="63"/>
        <v>1.5714285714285714</v>
      </c>
      <c r="AS69" s="109">
        <v>10</v>
      </c>
      <c r="AT69" s="109">
        <v>5</v>
      </c>
      <c r="AU69" s="109">
        <f t="shared" si="52"/>
        <v>50</v>
      </c>
      <c r="AV69" s="109">
        <v>1</v>
      </c>
      <c r="AW69" s="109">
        <v>0</v>
      </c>
      <c r="AX69" s="109">
        <v>0</v>
      </c>
      <c r="AY69" s="109">
        <v>0</v>
      </c>
      <c r="AZ69" s="109">
        <v>0</v>
      </c>
      <c r="BA69" s="109">
        <v>0</v>
      </c>
      <c r="BB69" s="109">
        <v>0</v>
      </c>
      <c r="BC69" s="109">
        <v>1</v>
      </c>
      <c r="BD69" s="130">
        <v>1</v>
      </c>
      <c r="BE69" s="131">
        <v>36698</v>
      </c>
      <c r="BF69" s="124"/>
      <c r="BG69" s="124">
        <f t="shared" si="44"/>
        <v>36698</v>
      </c>
      <c r="BH69" s="124"/>
      <c r="BI69" s="102" t="s">
        <v>82</v>
      </c>
      <c r="BJ69" s="100">
        <f t="shared" si="64"/>
        <v>24.377823408624231</v>
      </c>
      <c r="BK69" s="100">
        <f t="shared" si="65"/>
        <v>742</v>
      </c>
      <c r="BL69" s="100">
        <v>1</v>
      </c>
      <c r="BM69" s="110">
        <v>36214</v>
      </c>
      <c r="BN69" s="100">
        <f>(BM69-AQ69)*12/365.25</f>
        <v>6.0780287474332653</v>
      </c>
      <c r="BO69" s="100">
        <f>(BM69-I69)*12/365.25</f>
        <v>8.4763860369609851</v>
      </c>
      <c r="BP69" s="100">
        <f t="shared" si="66"/>
        <v>258</v>
      </c>
      <c r="BQ69" s="109">
        <v>1</v>
      </c>
      <c r="BR69" s="110">
        <v>36218</v>
      </c>
      <c r="BS69" s="106">
        <f>(BR69-I69)*12/365.25</f>
        <v>8.6078028747433262</v>
      </c>
      <c r="BT69" s="100">
        <f t="shared" si="67"/>
        <v>262</v>
      </c>
      <c r="BU69" s="100">
        <v>1</v>
      </c>
      <c r="BV69" s="100"/>
      <c r="BW69" s="100"/>
      <c r="BX69" s="110">
        <f>BR69</f>
        <v>36218</v>
      </c>
      <c r="BY69" s="100">
        <f t="shared" si="46"/>
        <v>8.6078028747433262</v>
      </c>
      <c r="BZ69" s="100">
        <f t="shared" si="47"/>
        <v>262</v>
      </c>
      <c r="CA69" s="100">
        <f t="shared" si="54"/>
        <v>1</v>
      </c>
      <c r="CB69" s="110">
        <f t="shared" si="55"/>
        <v>36218</v>
      </c>
      <c r="CC69" s="100">
        <f t="shared" si="56"/>
        <v>8.6078028747433262</v>
      </c>
      <c r="CD69" s="100">
        <f t="shared" si="57"/>
        <v>262</v>
      </c>
      <c r="CE69" s="132" t="s">
        <v>88</v>
      </c>
      <c r="CF69" s="126" t="s">
        <v>88</v>
      </c>
      <c r="CG69" s="100">
        <v>3</v>
      </c>
      <c r="CH69" s="115">
        <f>4.23+5.37+1.52+9.68</f>
        <v>20.8</v>
      </c>
      <c r="CI69" s="126" t="s">
        <v>201</v>
      </c>
      <c r="CJ69" s="126" t="s">
        <v>38</v>
      </c>
      <c r="CK69" s="126" t="s">
        <v>38</v>
      </c>
      <c r="CL69" s="126"/>
      <c r="CM69" s="126" t="s">
        <v>408</v>
      </c>
      <c r="CN69" s="110"/>
      <c r="CO69" s="100">
        <v>0</v>
      </c>
      <c r="CP69" s="110"/>
      <c r="CQ69" s="110" t="s">
        <v>408</v>
      </c>
      <c r="CR69" s="126"/>
    </row>
    <row r="70" spans="1:96" s="113" customFormat="1" ht="25.5">
      <c r="A70" s="119" t="s">
        <v>263</v>
      </c>
      <c r="B70" s="119" t="s">
        <v>57</v>
      </c>
      <c r="C70" s="120">
        <v>23</v>
      </c>
      <c r="D70" s="96">
        <v>68</v>
      </c>
      <c r="E70" s="120">
        <v>9700</v>
      </c>
      <c r="F70" s="121">
        <v>20632</v>
      </c>
      <c r="G70" s="122">
        <v>856596</v>
      </c>
      <c r="H70" s="123" t="s">
        <v>121</v>
      </c>
      <c r="I70" s="124">
        <v>35977</v>
      </c>
      <c r="J70" s="122">
        <f t="shared" si="58"/>
        <v>42.012320328542096</v>
      </c>
      <c r="K70" s="125">
        <v>1</v>
      </c>
      <c r="L70" s="123" t="s">
        <v>49</v>
      </c>
      <c r="M70" s="119" t="s">
        <v>258</v>
      </c>
      <c r="N70" s="120" t="s">
        <v>509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6" t="s">
        <v>155</v>
      </c>
      <c r="U70" s="103" t="s">
        <v>402</v>
      </c>
      <c r="V70" s="103">
        <v>1</v>
      </c>
      <c r="W70" s="103">
        <v>0</v>
      </c>
      <c r="X70" s="103">
        <v>0</v>
      </c>
      <c r="Y70" s="103">
        <v>0</v>
      </c>
      <c r="Z70" s="103">
        <v>0</v>
      </c>
      <c r="AA70" s="103">
        <v>0</v>
      </c>
      <c r="AB70" s="105">
        <v>33252</v>
      </c>
      <c r="AC70" s="105">
        <v>35169</v>
      </c>
      <c r="AD70" s="106">
        <f t="shared" si="59"/>
        <v>62.98151950718686</v>
      </c>
      <c r="AE70" s="106">
        <v>1</v>
      </c>
      <c r="AF70" s="106">
        <v>0</v>
      </c>
      <c r="AG70" s="105" t="s">
        <v>387</v>
      </c>
      <c r="AH70" s="100">
        <v>1</v>
      </c>
      <c r="AI70" s="127" t="s">
        <v>142</v>
      </c>
      <c r="AJ70" s="105">
        <v>35748</v>
      </c>
      <c r="AK70" s="106">
        <f t="shared" si="60"/>
        <v>7.523613963039014</v>
      </c>
      <c r="AL70" s="106">
        <f t="shared" si="61"/>
        <v>19.022587268993838</v>
      </c>
      <c r="AM70" s="106">
        <f t="shared" si="62"/>
        <v>89.527720739219717</v>
      </c>
      <c r="AN70" s="102">
        <v>2</v>
      </c>
      <c r="AO70" s="102">
        <v>0</v>
      </c>
      <c r="AP70" s="128">
        <v>36004</v>
      </c>
      <c r="AQ70" s="128">
        <v>36022</v>
      </c>
      <c r="AR70" s="129">
        <f t="shared" si="63"/>
        <v>2.5714285714285716</v>
      </c>
      <c r="AS70" s="109">
        <v>14</v>
      </c>
      <c r="AT70" s="109">
        <v>3</v>
      </c>
      <c r="AU70" s="109">
        <f t="shared" si="52"/>
        <v>42</v>
      </c>
      <c r="AV70" s="109">
        <v>0</v>
      </c>
      <c r="AW70" s="109">
        <v>0</v>
      </c>
      <c r="AX70" s="109">
        <v>0</v>
      </c>
      <c r="AY70" s="109">
        <v>0</v>
      </c>
      <c r="AZ70" s="109">
        <v>0</v>
      </c>
      <c r="BA70" s="109">
        <v>0</v>
      </c>
      <c r="BB70" s="109">
        <v>1</v>
      </c>
      <c r="BC70" s="109">
        <v>1</v>
      </c>
      <c r="BD70" s="130">
        <v>1</v>
      </c>
      <c r="BE70" s="131">
        <v>36621</v>
      </c>
      <c r="BF70" s="124"/>
      <c r="BG70" s="124">
        <f t="shared" si="44"/>
        <v>36621</v>
      </c>
      <c r="BH70" s="124"/>
      <c r="BI70" s="102" t="s">
        <v>82</v>
      </c>
      <c r="BJ70" s="100">
        <f t="shared" si="64"/>
        <v>21.15811088295688</v>
      </c>
      <c r="BK70" s="100">
        <f t="shared" si="65"/>
        <v>644</v>
      </c>
      <c r="BL70" s="100">
        <v>0</v>
      </c>
      <c r="BM70" s="110"/>
      <c r="BN70" s="100"/>
      <c r="BO70" s="100">
        <f>BJ70</f>
        <v>21.15811088295688</v>
      </c>
      <c r="BP70" s="100">
        <f t="shared" si="66"/>
        <v>644</v>
      </c>
      <c r="BQ70" s="100">
        <v>1</v>
      </c>
      <c r="BR70" s="110">
        <v>36139</v>
      </c>
      <c r="BS70" s="106">
        <f>(BR70-I70)*12/365.25</f>
        <v>5.3223819301848048</v>
      </c>
      <c r="BT70" s="100">
        <f t="shared" si="67"/>
        <v>162</v>
      </c>
      <c r="BU70" s="100">
        <f>BQ70+BL70</f>
        <v>1</v>
      </c>
      <c r="BV70" s="100"/>
      <c r="BW70" s="100"/>
      <c r="BX70" s="110">
        <f>BR70</f>
        <v>36139</v>
      </c>
      <c r="BY70" s="100">
        <f t="shared" si="46"/>
        <v>5.3223819301848048</v>
      </c>
      <c r="BZ70" s="100">
        <f t="shared" si="47"/>
        <v>162</v>
      </c>
      <c r="CA70" s="100">
        <f t="shared" si="54"/>
        <v>1</v>
      </c>
      <c r="CB70" s="110">
        <f t="shared" si="55"/>
        <v>36139</v>
      </c>
      <c r="CC70" s="100">
        <f t="shared" si="56"/>
        <v>5.3223819301848048</v>
      </c>
      <c r="CD70" s="100">
        <f t="shared" si="57"/>
        <v>162</v>
      </c>
      <c r="CE70" s="132" t="s">
        <v>22</v>
      </c>
      <c r="CF70" s="126" t="s">
        <v>183</v>
      </c>
      <c r="CG70" s="100">
        <v>3</v>
      </c>
      <c r="CH70" s="115">
        <f>31.28+2.43</f>
        <v>33.71</v>
      </c>
      <c r="CI70" s="126" t="s">
        <v>143</v>
      </c>
      <c r="CJ70" s="126" t="s">
        <v>178</v>
      </c>
      <c r="CK70" s="126" t="s">
        <v>364</v>
      </c>
      <c r="CL70" s="126"/>
      <c r="CM70" s="126" t="s">
        <v>408</v>
      </c>
      <c r="CN70" s="110"/>
      <c r="CO70" s="100">
        <v>0</v>
      </c>
      <c r="CP70" s="110"/>
      <c r="CQ70" s="110" t="s">
        <v>408</v>
      </c>
      <c r="CR70" s="126"/>
    </row>
    <row r="71" spans="1:96" s="113" customFormat="1" ht="25.5">
      <c r="A71" s="119" t="s">
        <v>246</v>
      </c>
      <c r="B71" s="119" t="s">
        <v>247</v>
      </c>
      <c r="C71" s="120">
        <v>24</v>
      </c>
      <c r="D71" s="96">
        <v>69</v>
      </c>
      <c r="E71" s="120">
        <v>9700</v>
      </c>
      <c r="F71" s="121">
        <v>7691</v>
      </c>
      <c r="G71" s="122">
        <v>672211</v>
      </c>
      <c r="H71" s="123" t="s">
        <v>121</v>
      </c>
      <c r="I71" s="124">
        <v>35978</v>
      </c>
      <c r="J71" s="122">
        <f t="shared" si="58"/>
        <v>77.445585215605746</v>
      </c>
      <c r="K71" s="125">
        <v>0</v>
      </c>
      <c r="L71" s="123" t="s">
        <v>49</v>
      </c>
      <c r="M71" s="119" t="s">
        <v>144</v>
      </c>
      <c r="N71" s="120" t="s">
        <v>107</v>
      </c>
      <c r="O71" s="120">
        <v>1</v>
      </c>
      <c r="P71" s="120">
        <v>0</v>
      </c>
      <c r="Q71" s="120">
        <v>0</v>
      </c>
      <c r="R71" s="120">
        <v>0</v>
      </c>
      <c r="S71" s="120">
        <v>0</v>
      </c>
      <c r="T71" s="126" t="s">
        <v>155</v>
      </c>
      <c r="U71" s="103" t="s">
        <v>402</v>
      </c>
      <c r="V71" s="103">
        <v>1</v>
      </c>
      <c r="W71" s="103">
        <v>0</v>
      </c>
      <c r="X71" s="103">
        <v>0</v>
      </c>
      <c r="Y71" s="103">
        <v>0</v>
      </c>
      <c r="Z71" s="103">
        <v>0</v>
      </c>
      <c r="AA71" s="103">
        <v>0</v>
      </c>
      <c r="AB71" s="105">
        <v>34424</v>
      </c>
      <c r="AC71" s="105">
        <v>35098</v>
      </c>
      <c r="AD71" s="106">
        <f t="shared" si="59"/>
        <v>22.143737166324435</v>
      </c>
      <c r="AE71" s="106">
        <v>1</v>
      </c>
      <c r="AF71" s="106">
        <v>0</v>
      </c>
      <c r="AG71" s="105" t="s">
        <v>387</v>
      </c>
      <c r="AH71" s="100">
        <v>1</v>
      </c>
      <c r="AI71" s="127" t="s">
        <v>327</v>
      </c>
      <c r="AJ71" s="105">
        <v>35894</v>
      </c>
      <c r="AK71" s="106">
        <f t="shared" si="60"/>
        <v>2.7597535934291582</v>
      </c>
      <c r="AL71" s="106">
        <f t="shared" si="61"/>
        <v>26.151950718685832</v>
      </c>
      <c r="AM71" s="106">
        <f t="shared" si="62"/>
        <v>51.055441478439427</v>
      </c>
      <c r="AN71" s="102">
        <v>1</v>
      </c>
      <c r="AO71" s="102">
        <v>1</v>
      </c>
      <c r="AP71" s="128">
        <v>36028</v>
      </c>
      <c r="AQ71" s="128">
        <v>36042</v>
      </c>
      <c r="AR71" s="129">
        <f t="shared" si="63"/>
        <v>2</v>
      </c>
      <c r="AS71" s="109">
        <v>10</v>
      </c>
      <c r="AT71" s="109">
        <v>5</v>
      </c>
      <c r="AU71" s="109">
        <f t="shared" si="52"/>
        <v>50</v>
      </c>
      <c r="AV71" s="109">
        <v>1</v>
      </c>
      <c r="AW71" s="109">
        <v>0</v>
      </c>
      <c r="AX71" s="109">
        <v>0</v>
      </c>
      <c r="AY71" s="109">
        <v>0</v>
      </c>
      <c r="AZ71" s="109">
        <v>0</v>
      </c>
      <c r="BA71" s="109">
        <v>0</v>
      </c>
      <c r="BB71" s="109">
        <v>0</v>
      </c>
      <c r="BC71" s="109">
        <v>1</v>
      </c>
      <c r="BD71" s="130">
        <v>1</v>
      </c>
      <c r="BE71" s="131">
        <v>36754</v>
      </c>
      <c r="BF71" s="124"/>
      <c r="BG71" s="124">
        <f t="shared" si="44"/>
        <v>36754</v>
      </c>
      <c r="BH71" s="124"/>
      <c r="BI71" s="102" t="s">
        <v>290</v>
      </c>
      <c r="BJ71" s="100">
        <f t="shared" si="64"/>
        <v>25.494866529774125</v>
      </c>
      <c r="BK71" s="100">
        <f t="shared" si="65"/>
        <v>776</v>
      </c>
      <c r="BL71" s="198">
        <v>1</v>
      </c>
      <c r="BM71" s="110">
        <v>36684</v>
      </c>
      <c r="BN71" s="100">
        <f>(BM71-AQ71)*12/365.25</f>
        <v>21.09240246406571</v>
      </c>
      <c r="BO71" s="100">
        <f>(BM71-I71)*12/365.25</f>
        <v>23.195071868583163</v>
      </c>
      <c r="BP71" s="100">
        <f t="shared" si="66"/>
        <v>706</v>
      </c>
      <c r="BQ71" s="100">
        <v>1</v>
      </c>
      <c r="BR71" s="110">
        <v>36219</v>
      </c>
      <c r="BS71" s="106">
        <f>(BR71-I71)*12/365.25</f>
        <v>7.9178644763860371</v>
      </c>
      <c r="BT71" s="100">
        <f t="shared" si="67"/>
        <v>241</v>
      </c>
      <c r="BU71" s="100">
        <f>BQ71+BL71</f>
        <v>2</v>
      </c>
      <c r="BV71" s="100"/>
      <c r="BW71" s="100"/>
      <c r="BX71" s="110">
        <f>BR71</f>
        <v>36219</v>
      </c>
      <c r="BY71" s="100">
        <f t="shared" si="46"/>
        <v>7.9178644763860371</v>
      </c>
      <c r="BZ71" s="100">
        <f t="shared" si="47"/>
        <v>241</v>
      </c>
      <c r="CA71" s="100">
        <f t="shared" si="54"/>
        <v>2</v>
      </c>
      <c r="CB71" s="110">
        <f t="shared" si="55"/>
        <v>36219</v>
      </c>
      <c r="CC71" s="100">
        <f t="shared" si="56"/>
        <v>7.9178644763860371</v>
      </c>
      <c r="CD71" s="100">
        <f t="shared" si="57"/>
        <v>241</v>
      </c>
      <c r="CE71" s="132" t="s">
        <v>22</v>
      </c>
      <c r="CF71" s="126" t="s">
        <v>253</v>
      </c>
      <c r="CG71" s="100">
        <v>1</v>
      </c>
      <c r="CH71" s="115">
        <v>1.81</v>
      </c>
      <c r="CI71" s="126" t="s">
        <v>315</v>
      </c>
      <c r="CJ71" s="126" t="s">
        <v>249</v>
      </c>
      <c r="CK71" s="126" t="s">
        <v>364</v>
      </c>
      <c r="CL71" s="126"/>
      <c r="CM71" s="126" t="s">
        <v>408</v>
      </c>
      <c r="CN71" s="110"/>
      <c r="CO71" s="100">
        <v>0</v>
      </c>
      <c r="CP71" s="110"/>
      <c r="CQ71" s="110" t="s">
        <v>408</v>
      </c>
      <c r="CR71" s="126"/>
    </row>
    <row r="72" spans="1:96" s="113" customFormat="1">
      <c r="A72" s="119" t="s">
        <v>305</v>
      </c>
      <c r="B72" s="119" t="s">
        <v>306</v>
      </c>
      <c r="C72" s="120">
        <v>25</v>
      </c>
      <c r="D72" s="96">
        <v>70</v>
      </c>
      <c r="E72" s="120">
        <v>9700</v>
      </c>
      <c r="F72" s="121">
        <v>4794</v>
      </c>
      <c r="G72" s="122">
        <v>870219</v>
      </c>
      <c r="H72" s="123" t="s">
        <v>121</v>
      </c>
      <c r="I72" s="124">
        <v>35986</v>
      </c>
      <c r="J72" s="122">
        <f t="shared" si="58"/>
        <v>85.399041752224505</v>
      </c>
      <c r="K72" s="125">
        <v>1</v>
      </c>
      <c r="L72" s="123" t="s">
        <v>68</v>
      </c>
      <c r="M72" s="119" t="s">
        <v>348</v>
      </c>
      <c r="N72" s="120" t="s">
        <v>509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6" t="s">
        <v>155</v>
      </c>
      <c r="U72" s="103" t="s">
        <v>402</v>
      </c>
      <c r="V72" s="103">
        <v>1</v>
      </c>
      <c r="W72" s="103">
        <v>0</v>
      </c>
      <c r="X72" s="103">
        <v>0</v>
      </c>
      <c r="Y72" s="103">
        <v>0</v>
      </c>
      <c r="Z72" s="103">
        <v>0</v>
      </c>
      <c r="AA72" s="103">
        <v>0</v>
      </c>
      <c r="AB72" s="105">
        <v>34740</v>
      </c>
      <c r="AC72" s="105">
        <v>35613</v>
      </c>
      <c r="AD72" s="106">
        <f t="shared" si="59"/>
        <v>28.681724845995895</v>
      </c>
      <c r="AE72" s="106">
        <v>0</v>
      </c>
      <c r="AF72" s="106">
        <v>1</v>
      </c>
      <c r="AG72" s="105" t="s">
        <v>390</v>
      </c>
      <c r="AH72" s="100">
        <v>1</v>
      </c>
      <c r="AI72" s="127" t="s">
        <v>327</v>
      </c>
      <c r="AJ72" s="105">
        <v>35613</v>
      </c>
      <c r="AK72" s="106">
        <f t="shared" si="60"/>
        <v>12.254620123203285</v>
      </c>
      <c r="AL72" s="106">
        <f t="shared" si="61"/>
        <v>0</v>
      </c>
      <c r="AM72" s="106">
        <f t="shared" si="62"/>
        <v>40.936344969199176</v>
      </c>
      <c r="AN72" s="102">
        <v>3</v>
      </c>
      <c r="AO72" s="102">
        <v>0</v>
      </c>
      <c r="AP72" s="128">
        <v>36020</v>
      </c>
      <c r="AQ72" s="128">
        <v>36033</v>
      </c>
      <c r="AR72" s="129">
        <f t="shared" si="63"/>
        <v>1.8571428571428572</v>
      </c>
      <c r="AS72" s="109">
        <v>10</v>
      </c>
      <c r="AT72" s="109">
        <v>5</v>
      </c>
      <c r="AU72" s="109">
        <f t="shared" si="52"/>
        <v>50</v>
      </c>
      <c r="AV72" s="109">
        <v>1</v>
      </c>
      <c r="AW72" s="109">
        <v>1</v>
      </c>
      <c r="AX72" s="109">
        <v>0</v>
      </c>
      <c r="AY72" s="109">
        <v>0</v>
      </c>
      <c r="AZ72" s="109">
        <v>0</v>
      </c>
      <c r="BA72" s="109">
        <v>0</v>
      </c>
      <c r="BB72" s="109">
        <v>0</v>
      </c>
      <c r="BC72" s="109">
        <v>2</v>
      </c>
      <c r="BD72" s="130">
        <v>1</v>
      </c>
      <c r="BE72" s="131">
        <v>37255</v>
      </c>
      <c r="BF72" s="124">
        <v>37008</v>
      </c>
      <c r="BG72" s="124">
        <f t="shared" si="44"/>
        <v>37255</v>
      </c>
      <c r="BH72" s="124"/>
      <c r="BI72" s="102" t="s">
        <v>399</v>
      </c>
      <c r="BJ72" s="100">
        <f t="shared" si="64"/>
        <v>41.691991786447645</v>
      </c>
      <c r="BK72" s="100">
        <f t="shared" si="65"/>
        <v>1269.0000000000002</v>
      </c>
      <c r="BL72" s="100">
        <v>0</v>
      </c>
      <c r="BM72" s="110"/>
      <c r="BN72" s="100"/>
      <c r="BO72" s="100">
        <f>(BF72-I72)*12/365.25</f>
        <v>33.577002053388092</v>
      </c>
      <c r="BP72" s="100">
        <f t="shared" si="66"/>
        <v>1022</v>
      </c>
      <c r="BQ72" s="100">
        <v>0</v>
      </c>
      <c r="BR72" s="110"/>
      <c r="BS72" s="106">
        <f>(BF72-I72)*12/365.25</f>
        <v>33.577002053388092</v>
      </c>
      <c r="BT72" s="100">
        <f t="shared" si="67"/>
        <v>1022</v>
      </c>
      <c r="BU72" s="100">
        <f>BQ72+BL72</f>
        <v>0</v>
      </c>
      <c r="BV72" s="100"/>
      <c r="BW72" s="100"/>
      <c r="BX72" s="110"/>
      <c r="BY72" s="100">
        <f>(BF72-I72)*12/365.25</f>
        <v>33.577002053388092</v>
      </c>
      <c r="BZ72" s="100">
        <f t="shared" si="47"/>
        <v>1022</v>
      </c>
      <c r="CA72" s="100">
        <f t="shared" si="54"/>
        <v>0</v>
      </c>
      <c r="CB72" s="110"/>
      <c r="CC72" s="100">
        <f t="shared" ref="CC72:CC80" si="68">BY72</f>
        <v>33.577002053388092</v>
      </c>
      <c r="CD72" s="100">
        <f t="shared" ref="CD72:CD80" si="69">BZ72</f>
        <v>1022</v>
      </c>
      <c r="CE72" s="132" t="s">
        <v>22</v>
      </c>
      <c r="CF72" s="126" t="s">
        <v>73</v>
      </c>
      <c r="CG72" s="100">
        <v>4</v>
      </c>
      <c r="CH72" s="115">
        <f>12.11+3.7+36.94</f>
        <v>52.75</v>
      </c>
      <c r="CI72" s="126" t="s">
        <v>74</v>
      </c>
      <c r="CJ72" s="126" t="s">
        <v>75</v>
      </c>
      <c r="CK72" s="126" t="s">
        <v>363</v>
      </c>
      <c r="CL72" s="126"/>
      <c r="CM72" s="126" t="s">
        <v>408</v>
      </c>
      <c r="CN72" s="110" t="s">
        <v>375</v>
      </c>
      <c r="CO72" s="100">
        <v>1</v>
      </c>
      <c r="CP72" s="100">
        <f>(CN72-AP72)*12/365.25</f>
        <v>6.6365503080082133</v>
      </c>
      <c r="CQ72" s="100" t="s">
        <v>389</v>
      </c>
      <c r="CR72" s="126" t="s">
        <v>534</v>
      </c>
    </row>
    <row r="73" spans="1:96" s="113" customFormat="1" ht="25.5">
      <c r="A73" s="119" t="s">
        <v>266</v>
      </c>
      <c r="B73" s="119" t="s">
        <v>84</v>
      </c>
      <c r="C73" s="120">
        <v>26</v>
      </c>
      <c r="D73" s="96">
        <v>71</v>
      </c>
      <c r="E73" s="120">
        <v>9700</v>
      </c>
      <c r="F73" s="121">
        <v>12652</v>
      </c>
      <c r="G73" s="122">
        <v>721102</v>
      </c>
      <c r="H73" s="123" t="s">
        <v>121</v>
      </c>
      <c r="I73" s="124">
        <v>35991</v>
      </c>
      <c r="J73" s="122">
        <f t="shared" si="58"/>
        <v>63.898699520876114</v>
      </c>
      <c r="K73" s="125">
        <v>1</v>
      </c>
      <c r="L73" s="123" t="s">
        <v>49</v>
      </c>
      <c r="M73" s="119" t="s">
        <v>309</v>
      </c>
      <c r="N73" s="120" t="s">
        <v>511</v>
      </c>
      <c r="O73" s="120">
        <v>0</v>
      </c>
      <c r="P73" s="120">
        <v>0</v>
      </c>
      <c r="Q73" s="120">
        <v>0</v>
      </c>
      <c r="R73" s="120">
        <v>0</v>
      </c>
      <c r="S73" s="120">
        <v>1</v>
      </c>
      <c r="T73" s="126" t="s">
        <v>155</v>
      </c>
      <c r="U73" s="103" t="s">
        <v>402</v>
      </c>
      <c r="V73" s="103">
        <v>1</v>
      </c>
      <c r="W73" s="103">
        <v>0</v>
      </c>
      <c r="X73" s="103">
        <v>0</v>
      </c>
      <c r="Y73" s="103">
        <v>0</v>
      </c>
      <c r="Z73" s="103">
        <v>0</v>
      </c>
      <c r="AA73" s="103">
        <v>0</v>
      </c>
      <c r="AB73" s="105">
        <v>35581</v>
      </c>
      <c r="AC73" s="105">
        <v>35656</v>
      </c>
      <c r="AD73" s="106">
        <f t="shared" si="59"/>
        <v>2.4640657084188913</v>
      </c>
      <c r="AE73" s="106">
        <v>0</v>
      </c>
      <c r="AF73" s="106">
        <v>0</v>
      </c>
      <c r="AG73" s="105" t="s">
        <v>389</v>
      </c>
      <c r="AH73" s="100">
        <v>1</v>
      </c>
      <c r="AI73" s="127" t="s">
        <v>315</v>
      </c>
      <c r="AJ73" s="105">
        <v>35656</v>
      </c>
      <c r="AK73" s="106">
        <f t="shared" si="60"/>
        <v>11.006160164271048</v>
      </c>
      <c r="AL73" s="106">
        <f t="shared" si="61"/>
        <v>0</v>
      </c>
      <c r="AM73" s="106">
        <f t="shared" si="62"/>
        <v>13.470225872689939</v>
      </c>
      <c r="AN73" s="102">
        <v>1</v>
      </c>
      <c r="AO73" s="102">
        <v>1</v>
      </c>
      <c r="AP73" s="128">
        <v>36033</v>
      </c>
      <c r="AQ73" s="128">
        <v>36047</v>
      </c>
      <c r="AR73" s="129">
        <f t="shared" si="63"/>
        <v>2</v>
      </c>
      <c r="AS73" s="109">
        <v>10</v>
      </c>
      <c r="AT73" s="109">
        <v>5</v>
      </c>
      <c r="AU73" s="109">
        <f t="shared" si="52"/>
        <v>50</v>
      </c>
      <c r="AV73" s="109">
        <v>0</v>
      </c>
      <c r="AW73" s="109">
        <v>0</v>
      </c>
      <c r="AX73" s="109">
        <v>1</v>
      </c>
      <c r="AY73" s="109">
        <v>0</v>
      </c>
      <c r="AZ73" s="109">
        <v>0</v>
      </c>
      <c r="BA73" s="109">
        <v>0</v>
      </c>
      <c r="BB73" s="109">
        <v>0</v>
      </c>
      <c r="BC73" s="109">
        <v>1</v>
      </c>
      <c r="BD73" s="130">
        <v>1</v>
      </c>
      <c r="BE73" s="131">
        <v>36188</v>
      </c>
      <c r="BF73" s="124"/>
      <c r="BG73" s="124">
        <f t="shared" si="44"/>
        <v>36188</v>
      </c>
      <c r="BH73" s="124"/>
      <c r="BI73" s="102" t="s">
        <v>82</v>
      </c>
      <c r="BJ73" s="100">
        <f t="shared" si="64"/>
        <v>6.4722792607802866</v>
      </c>
      <c r="BK73" s="100">
        <f t="shared" si="65"/>
        <v>196.99999999999997</v>
      </c>
      <c r="BL73" s="100">
        <v>0</v>
      </c>
      <c r="BM73" s="110"/>
      <c r="BN73" s="100"/>
      <c r="BO73" s="100">
        <f>BJ73</f>
        <v>6.4722792607802866</v>
      </c>
      <c r="BP73" s="100">
        <f t="shared" si="66"/>
        <v>196.99999999999997</v>
      </c>
      <c r="BQ73" s="100">
        <v>1</v>
      </c>
      <c r="BR73" s="110">
        <v>36168</v>
      </c>
      <c r="BS73" s="106">
        <f>(BR73-I73)*12/365.25</f>
        <v>5.8151950718685832</v>
      </c>
      <c r="BT73" s="100">
        <f t="shared" si="67"/>
        <v>177</v>
      </c>
      <c r="BU73" s="100">
        <f>BQ73+BL73</f>
        <v>1</v>
      </c>
      <c r="BV73" s="100"/>
      <c r="BW73" s="100"/>
      <c r="BX73" s="110">
        <f>BR73</f>
        <v>36168</v>
      </c>
      <c r="BY73" s="100">
        <f>(BX73-I73)*12/365.25</f>
        <v>5.8151950718685832</v>
      </c>
      <c r="BZ73" s="100">
        <f t="shared" si="47"/>
        <v>177</v>
      </c>
      <c r="CA73" s="100">
        <f t="shared" si="54"/>
        <v>1</v>
      </c>
      <c r="CB73" s="110">
        <f>BX73</f>
        <v>36168</v>
      </c>
      <c r="CC73" s="100">
        <f t="shared" si="68"/>
        <v>5.8151950718685832</v>
      </c>
      <c r="CD73" s="100">
        <f t="shared" si="69"/>
        <v>177</v>
      </c>
      <c r="CE73" s="132" t="s">
        <v>22</v>
      </c>
      <c r="CF73" s="126" t="s">
        <v>325</v>
      </c>
      <c r="CG73" s="100">
        <v>2</v>
      </c>
      <c r="CH73" s="115">
        <v>12.34</v>
      </c>
      <c r="CI73" s="126" t="s">
        <v>38</v>
      </c>
      <c r="CJ73" s="126" t="s">
        <v>38</v>
      </c>
      <c r="CK73" s="126" t="s">
        <v>38</v>
      </c>
      <c r="CL73" s="126"/>
      <c r="CM73" s="126" t="s">
        <v>408</v>
      </c>
      <c r="CN73" s="110"/>
      <c r="CO73" s="100">
        <v>0</v>
      </c>
      <c r="CP73" s="110"/>
      <c r="CQ73" s="110" t="s">
        <v>408</v>
      </c>
      <c r="CR73" s="126"/>
    </row>
    <row r="74" spans="1:96" s="113" customFormat="1" ht="25.5">
      <c r="A74" s="119" t="s">
        <v>267</v>
      </c>
      <c r="B74" s="119" t="s">
        <v>250</v>
      </c>
      <c r="C74" s="120">
        <v>27</v>
      </c>
      <c r="D74" s="96">
        <v>72</v>
      </c>
      <c r="E74" s="120">
        <v>9700</v>
      </c>
      <c r="F74" s="121">
        <v>13953</v>
      </c>
      <c r="G74" s="122">
        <v>864542</v>
      </c>
      <c r="H74" s="123" t="s">
        <v>121</v>
      </c>
      <c r="I74" s="124">
        <v>35965</v>
      </c>
      <c r="J74" s="122">
        <f t="shared" si="58"/>
        <v>60.265571526351813</v>
      </c>
      <c r="K74" s="125">
        <v>1</v>
      </c>
      <c r="L74" s="123" t="s">
        <v>49</v>
      </c>
      <c r="M74" s="119" t="s">
        <v>326</v>
      </c>
      <c r="N74" s="120" t="s">
        <v>107</v>
      </c>
      <c r="O74" s="120">
        <v>1</v>
      </c>
      <c r="P74" s="120">
        <v>0</v>
      </c>
      <c r="Q74" s="120">
        <v>0</v>
      </c>
      <c r="R74" s="120">
        <v>0</v>
      </c>
      <c r="S74" s="120">
        <v>0</v>
      </c>
      <c r="T74" s="126" t="s">
        <v>155</v>
      </c>
      <c r="U74" s="103" t="s">
        <v>402</v>
      </c>
      <c r="V74" s="103">
        <v>1</v>
      </c>
      <c r="W74" s="103">
        <v>0</v>
      </c>
      <c r="X74" s="103">
        <v>0</v>
      </c>
      <c r="Y74" s="103">
        <v>0</v>
      </c>
      <c r="Z74" s="103">
        <v>0</v>
      </c>
      <c r="AA74" s="103">
        <v>0</v>
      </c>
      <c r="AB74" s="105">
        <v>35095</v>
      </c>
      <c r="AC74" s="105">
        <v>35595</v>
      </c>
      <c r="AD74" s="106">
        <f t="shared" si="59"/>
        <v>16.427104722792606</v>
      </c>
      <c r="AE74" s="106">
        <v>0</v>
      </c>
      <c r="AF74" s="106">
        <v>0</v>
      </c>
      <c r="AG74" s="105" t="s">
        <v>390</v>
      </c>
      <c r="AH74" s="100">
        <v>1</v>
      </c>
      <c r="AI74" s="127" t="s">
        <v>327</v>
      </c>
      <c r="AJ74" s="105">
        <v>35595</v>
      </c>
      <c r="AK74" s="106">
        <f t="shared" si="60"/>
        <v>12.156057494866531</v>
      </c>
      <c r="AL74" s="106">
        <f t="shared" si="61"/>
        <v>0</v>
      </c>
      <c r="AM74" s="106">
        <f t="shared" si="62"/>
        <v>28.583162217659137</v>
      </c>
      <c r="AN74" s="102">
        <v>3</v>
      </c>
      <c r="AO74" s="102">
        <v>0</v>
      </c>
      <c r="AP74" s="128">
        <v>35990</v>
      </c>
      <c r="AQ74" s="128">
        <v>36008</v>
      </c>
      <c r="AR74" s="129">
        <f t="shared" si="63"/>
        <v>2.5714285714285716</v>
      </c>
      <c r="AS74" s="109">
        <v>14</v>
      </c>
      <c r="AT74" s="109">
        <v>3</v>
      </c>
      <c r="AU74" s="109">
        <f t="shared" si="52"/>
        <v>42</v>
      </c>
      <c r="AV74" s="109">
        <v>1</v>
      </c>
      <c r="AW74" s="109">
        <v>0</v>
      </c>
      <c r="AX74" s="109">
        <v>0</v>
      </c>
      <c r="AY74" s="109">
        <v>0</v>
      </c>
      <c r="AZ74" s="109">
        <v>0</v>
      </c>
      <c r="BA74" s="109">
        <v>0</v>
      </c>
      <c r="BB74" s="109">
        <v>0</v>
      </c>
      <c r="BC74" s="109">
        <v>1</v>
      </c>
      <c r="BD74" s="130">
        <v>1</v>
      </c>
      <c r="BE74" s="131">
        <v>37626</v>
      </c>
      <c r="BF74" s="124"/>
      <c r="BG74" s="124">
        <f t="shared" si="44"/>
        <v>37626</v>
      </c>
      <c r="BH74" s="124"/>
      <c r="BI74" s="102" t="s">
        <v>82</v>
      </c>
      <c r="BJ74" s="100">
        <f t="shared" si="64"/>
        <v>54.570841889117048</v>
      </c>
      <c r="BK74" s="100">
        <f t="shared" si="65"/>
        <v>1661.0000000000002</v>
      </c>
      <c r="BL74" s="100">
        <v>1</v>
      </c>
      <c r="BM74" s="110">
        <v>36930</v>
      </c>
      <c r="BN74" s="100">
        <f>(BM74-AQ74)*12/365.25</f>
        <v>30.291581108829568</v>
      </c>
      <c r="BO74" s="100">
        <f>(BM74-I74)*12/365.25</f>
        <v>31.704312114989733</v>
      </c>
      <c r="BP74" s="100">
        <f t="shared" si="66"/>
        <v>965</v>
      </c>
      <c r="BQ74" s="100">
        <v>1</v>
      </c>
      <c r="BR74" s="110">
        <v>36930</v>
      </c>
      <c r="BS74" s="106">
        <f>(BR74-I74)*12/365.25</f>
        <v>31.704312114989733</v>
      </c>
      <c r="BT74" s="100">
        <f t="shared" si="67"/>
        <v>965</v>
      </c>
      <c r="BU74" s="100">
        <v>1</v>
      </c>
      <c r="BV74" s="100"/>
      <c r="BW74" s="100"/>
      <c r="BX74" s="110">
        <f>BR74</f>
        <v>36930</v>
      </c>
      <c r="BY74" s="100">
        <f>(BX74-I74)*12/365.25</f>
        <v>31.704312114989733</v>
      </c>
      <c r="BZ74" s="100">
        <f t="shared" si="47"/>
        <v>965</v>
      </c>
      <c r="CA74" s="100">
        <f t="shared" si="54"/>
        <v>1</v>
      </c>
      <c r="CB74" s="110">
        <f>BX74</f>
        <v>36930</v>
      </c>
      <c r="CC74" s="100">
        <f t="shared" si="68"/>
        <v>31.704312114989733</v>
      </c>
      <c r="CD74" s="100">
        <f t="shared" si="69"/>
        <v>965</v>
      </c>
      <c r="CE74" s="132" t="s">
        <v>22</v>
      </c>
      <c r="CF74" s="126" t="s">
        <v>65</v>
      </c>
      <c r="CG74" s="100">
        <v>2</v>
      </c>
      <c r="CH74" s="115">
        <f>8.115+1.805+5.102</f>
        <v>15.022</v>
      </c>
      <c r="CI74" s="126" t="s">
        <v>38</v>
      </c>
      <c r="CJ74" s="126" t="s">
        <v>38</v>
      </c>
      <c r="CK74" s="126" t="s">
        <v>38</v>
      </c>
      <c r="CL74" s="126"/>
      <c r="CM74" s="126" t="s">
        <v>408</v>
      </c>
      <c r="CN74" s="110"/>
      <c r="CO74" s="100">
        <v>0</v>
      </c>
      <c r="CP74" s="110"/>
      <c r="CQ74" s="110" t="s">
        <v>408</v>
      </c>
      <c r="CR74" s="126"/>
    </row>
    <row r="75" spans="1:96" s="113" customFormat="1" ht="25.5">
      <c r="A75" s="119" t="s">
        <v>251</v>
      </c>
      <c r="B75" s="119" t="s">
        <v>212</v>
      </c>
      <c r="C75" s="120">
        <v>28</v>
      </c>
      <c r="D75" s="96">
        <v>73</v>
      </c>
      <c r="E75" s="120">
        <v>9700</v>
      </c>
      <c r="F75" s="121">
        <v>6778</v>
      </c>
      <c r="G75" s="122">
        <v>900228</v>
      </c>
      <c r="H75" s="123" t="s">
        <v>121</v>
      </c>
      <c r="I75" s="124">
        <v>35985</v>
      </c>
      <c r="J75" s="122">
        <f t="shared" si="58"/>
        <v>79.964407939767284</v>
      </c>
      <c r="K75" s="125">
        <v>0</v>
      </c>
      <c r="L75" s="123" t="s">
        <v>49</v>
      </c>
      <c r="M75" s="119" t="s">
        <v>327</v>
      </c>
      <c r="N75" s="120" t="s">
        <v>510</v>
      </c>
      <c r="O75" s="120">
        <v>0</v>
      </c>
      <c r="P75" s="120">
        <v>1</v>
      </c>
      <c r="Q75" s="120">
        <v>0</v>
      </c>
      <c r="R75" s="120">
        <v>0</v>
      </c>
      <c r="S75" s="120">
        <v>0</v>
      </c>
      <c r="T75" s="126" t="s">
        <v>35</v>
      </c>
      <c r="U75" s="103" t="s">
        <v>507</v>
      </c>
      <c r="V75" s="103">
        <v>0</v>
      </c>
      <c r="W75" s="103">
        <v>1</v>
      </c>
      <c r="X75" s="103">
        <v>0</v>
      </c>
      <c r="Y75" s="103">
        <v>0</v>
      </c>
      <c r="Z75" s="103">
        <v>0</v>
      </c>
      <c r="AA75" s="103">
        <v>0</v>
      </c>
      <c r="AB75" s="105">
        <v>34348</v>
      </c>
      <c r="AC75" s="105">
        <v>35899</v>
      </c>
      <c r="AD75" s="106">
        <f t="shared" si="59"/>
        <v>50.956878850102669</v>
      </c>
      <c r="AE75" s="106">
        <v>0</v>
      </c>
      <c r="AF75" s="106">
        <v>0</v>
      </c>
      <c r="AG75" s="105" t="s">
        <v>391</v>
      </c>
      <c r="AH75" s="100">
        <v>0</v>
      </c>
      <c r="AI75" s="127" t="s">
        <v>327</v>
      </c>
      <c r="AJ75" s="105">
        <v>35899</v>
      </c>
      <c r="AK75" s="106">
        <f t="shared" si="60"/>
        <v>2.8254620123203287</v>
      </c>
      <c r="AL75" s="106">
        <f t="shared" si="61"/>
        <v>0</v>
      </c>
      <c r="AM75" s="106">
        <f t="shared" si="62"/>
        <v>53.782340862422998</v>
      </c>
      <c r="AN75" s="102">
        <v>1</v>
      </c>
      <c r="AO75" s="102">
        <v>1</v>
      </c>
      <c r="AP75" s="128">
        <v>36027</v>
      </c>
      <c r="AQ75" s="128">
        <v>36041</v>
      </c>
      <c r="AR75" s="129">
        <f t="shared" si="63"/>
        <v>2</v>
      </c>
      <c r="AS75" s="109">
        <v>10</v>
      </c>
      <c r="AT75" s="109">
        <v>5</v>
      </c>
      <c r="AU75" s="109">
        <f t="shared" si="52"/>
        <v>50</v>
      </c>
      <c r="AV75" s="109">
        <v>1</v>
      </c>
      <c r="AW75" s="109">
        <v>0</v>
      </c>
      <c r="AX75" s="109">
        <v>0</v>
      </c>
      <c r="AY75" s="109">
        <v>0</v>
      </c>
      <c r="AZ75" s="109">
        <v>0</v>
      </c>
      <c r="BA75" s="109">
        <v>0</v>
      </c>
      <c r="BB75" s="109">
        <v>0</v>
      </c>
      <c r="BC75" s="109">
        <v>1</v>
      </c>
      <c r="BD75" s="130">
        <v>1</v>
      </c>
      <c r="BE75" s="131">
        <v>36329</v>
      </c>
      <c r="BF75" s="124"/>
      <c r="BG75" s="124">
        <f t="shared" si="44"/>
        <v>36329</v>
      </c>
      <c r="BH75" s="124"/>
      <c r="BI75" s="102" t="s">
        <v>82</v>
      </c>
      <c r="BJ75" s="100">
        <f t="shared" si="64"/>
        <v>11.301848049281315</v>
      </c>
      <c r="BK75" s="100">
        <f t="shared" si="65"/>
        <v>344</v>
      </c>
      <c r="BL75" s="100">
        <v>0</v>
      </c>
      <c r="BM75" s="110"/>
      <c r="BN75" s="100"/>
      <c r="BO75" s="100">
        <f>BJ75</f>
        <v>11.301848049281315</v>
      </c>
      <c r="BP75" s="100">
        <f t="shared" si="66"/>
        <v>344</v>
      </c>
      <c r="BQ75" s="100">
        <v>1</v>
      </c>
      <c r="BR75" s="110">
        <v>36243</v>
      </c>
      <c r="BS75" s="106">
        <f>(BR75-I75)*12/365.25</f>
        <v>8.4763860369609851</v>
      </c>
      <c r="BT75" s="100">
        <f t="shared" si="67"/>
        <v>258</v>
      </c>
      <c r="BU75" s="100">
        <f>BQ75+BL75</f>
        <v>1</v>
      </c>
      <c r="BV75" s="100"/>
      <c r="BW75" s="100"/>
      <c r="BX75" s="110">
        <f>BR75</f>
        <v>36243</v>
      </c>
      <c r="BY75" s="100">
        <f>(BX75-I75)*12/365.25</f>
        <v>8.4763860369609851</v>
      </c>
      <c r="BZ75" s="100">
        <f t="shared" si="47"/>
        <v>258</v>
      </c>
      <c r="CA75" s="100">
        <f t="shared" si="54"/>
        <v>1</v>
      </c>
      <c r="CB75" s="110">
        <f>BX75</f>
        <v>36243</v>
      </c>
      <c r="CC75" s="100">
        <f t="shared" si="68"/>
        <v>8.4763860369609851</v>
      </c>
      <c r="CD75" s="100">
        <f t="shared" si="69"/>
        <v>258</v>
      </c>
      <c r="CE75" s="132" t="s">
        <v>38</v>
      </c>
      <c r="CF75" s="126" t="s">
        <v>38</v>
      </c>
      <c r="CG75" s="100">
        <v>1</v>
      </c>
      <c r="CH75" s="115">
        <v>5.36</v>
      </c>
      <c r="CI75" s="126" t="s">
        <v>315</v>
      </c>
      <c r="CJ75" s="126" t="s">
        <v>38</v>
      </c>
      <c r="CK75" s="126" t="s">
        <v>38</v>
      </c>
      <c r="CL75" s="126"/>
      <c r="CM75" s="126" t="s">
        <v>408</v>
      </c>
      <c r="CN75" s="110"/>
      <c r="CO75" s="100">
        <v>0</v>
      </c>
      <c r="CP75" s="110"/>
      <c r="CQ75" s="110" t="s">
        <v>408</v>
      </c>
      <c r="CR75" s="126"/>
    </row>
    <row r="76" spans="1:96" ht="25.5">
      <c r="A76" s="119" t="s">
        <v>213</v>
      </c>
      <c r="B76" s="119" t="s">
        <v>173</v>
      </c>
      <c r="C76" s="120">
        <v>29</v>
      </c>
      <c r="D76" s="96">
        <v>74</v>
      </c>
      <c r="E76" s="120">
        <v>9700</v>
      </c>
      <c r="F76" s="121">
        <v>8894</v>
      </c>
      <c r="G76" s="122">
        <v>2080288</v>
      </c>
      <c r="H76" s="123" t="s">
        <v>121</v>
      </c>
      <c r="I76" s="124">
        <v>35977</v>
      </c>
      <c r="J76" s="122">
        <f t="shared" si="58"/>
        <v>74.149212867898697</v>
      </c>
      <c r="K76" s="125">
        <v>1</v>
      </c>
      <c r="L76" s="123" t="s">
        <v>49</v>
      </c>
      <c r="M76" s="119" t="s">
        <v>144</v>
      </c>
      <c r="N76" s="120" t="s">
        <v>107</v>
      </c>
      <c r="O76" s="120">
        <v>1</v>
      </c>
      <c r="P76" s="120">
        <v>0</v>
      </c>
      <c r="Q76" s="120">
        <v>0</v>
      </c>
      <c r="R76" s="120">
        <v>0</v>
      </c>
      <c r="S76" s="120">
        <v>0</v>
      </c>
      <c r="T76" s="126" t="s">
        <v>155</v>
      </c>
      <c r="U76" s="103" t="s">
        <v>402</v>
      </c>
      <c r="V76" s="103">
        <v>1</v>
      </c>
      <c r="W76" s="103">
        <v>0</v>
      </c>
      <c r="X76" s="103">
        <v>0</v>
      </c>
      <c r="Y76" s="103">
        <v>0</v>
      </c>
      <c r="Z76" s="103">
        <v>0</v>
      </c>
      <c r="AA76" s="103">
        <v>0</v>
      </c>
      <c r="AB76" s="105">
        <v>34621</v>
      </c>
      <c r="AC76" s="105">
        <v>35078</v>
      </c>
      <c r="AD76" s="106">
        <f t="shared" si="59"/>
        <v>15.014373716632445</v>
      </c>
      <c r="AE76" s="106">
        <v>0</v>
      </c>
      <c r="AF76" s="102">
        <v>0</v>
      </c>
      <c r="AG76" s="105" t="s">
        <v>387</v>
      </c>
      <c r="AH76" s="100">
        <v>1</v>
      </c>
      <c r="AI76" s="127" t="s">
        <v>315</v>
      </c>
      <c r="AJ76" s="105">
        <v>35078</v>
      </c>
      <c r="AK76" s="106">
        <f t="shared" si="60"/>
        <v>29.535934291581111</v>
      </c>
      <c r="AL76" s="106">
        <f t="shared" si="61"/>
        <v>0</v>
      </c>
      <c r="AM76" s="106">
        <f t="shared" si="62"/>
        <v>44.550308008213555</v>
      </c>
      <c r="AN76" s="102">
        <v>2</v>
      </c>
      <c r="AO76" s="102">
        <v>0</v>
      </c>
      <c r="AP76" s="128">
        <v>36011</v>
      </c>
      <c r="AQ76" s="128">
        <v>36025</v>
      </c>
      <c r="AR76" s="129">
        <f t="shared" si="63"/>
        <v>2</v>
      </c>
      <c r="AS76" s="109">
        <v>10</v>
      </c>
      <c r="AT76" s="109">
        <v>5</v>
      </c>
      <c r="AU76" s="109">
        <f t="shared" si="52"/>
        <v>50</v>
      </c>
      <c r="AV76" s="109">
        <v>0</v>
      </c>
      <c r="AW76" s="109">
        <v>0</v>
      </c>
      <c r="AX76" s="109">
        <v>1</v>
      </c>
      <c r="AY76" s="109">
        <v>0</v>
      </c>
      <c r="AZ76" s="109">
        <v>0</v>
      </c>
      <c r="BA76" s="109">
        <v>0</v>
      </c>
      <c r="BB76" s="109">
        <v>0</v>
      </c>
      <c r="BC76" s="109">
        <v>1</v>
      </c>
      <c r="BD76" s="130">
        <v>1</v>
      </c>
      <c r="BE76" s="131">
        <v>36498</v>
      </c>
      <c r="BF76" s="124"/>
      <c r="BG76" s="124">
        <f t="shared" si="44"/>
        <v>36498</v>
      </c>
      <c r="BH76" s="124"/>
      <c r="BI76" s="102" t="s">
        <v>82</v>
      </c>
      <c r="BJ76" s="100">
        <f t="shared" si="64"/>
        <v>17.117043121149898</v>
      </c>
      <c r="BK76" s="100">
        <f t="shared" si="65"/>
        <v>521</v>
      </c>
      <c r="BL76" s="100">
        <v>1</v>
      </c>
      <c r="BM76" s="110">
        <v>36299</v>
      </c>
      <c r="BN76" s="100">
        <f>(BM76-AQ76)*12/365.25</f>
        <v>9.0020533880903493</v>
      </c>
      <c r="BO76" s="100">
        <f>(BM76-I76)*12/365.25</f>
        <v>10.57905544147844</v>
      </c>
      <c r="BP76" s="100">
        <f t="shared" si="66"/>
        <v>322</v>
      </c>
      <c r="BQ76" s="100">
        <v>1</v>
      </c>
      <c r="BR76" s="110">
        <v>36299</v>
      </c>
      <c r="BS76" s="106">
        <f>(BR76-I76)*12/365.25</f>
        <v>10.57905544147844</v>
      </c>
      <c r="BT76" s="100">
        <f t="shared" si="67"/>
        <v>322</v>
      </c>
      <c r="BU76" s="100">
        <v>1</v>
      </c>
      <c r="BV76" s="100"/>
      <c r="BW76" s="100"/>
      <c r="BX76" s="110">
        <f>BR76</f>
        <v>36299</v>
      </c>
      <c r="BY76" s="100">
        <f>(BX76-I76)*12/365.25</f>
        <v>10.57905544147844</v>
      </c>
      <c r="BZ76" s="100">
        <f t="shared" si="47"/>
        <v>322</v>
      </c>
      <c r="CA76" s="100">
        <f t="shared" si="54"/>
        <v>1</v>
      </c>
      <c r="CB76" s="110">
        <f>BX76</f>
        <v>36299</v>
      </c>
      <c r="CC76" s="100">
        <f t="shared" si="68"/>
        <v>10.57905544147844</v>
      </c>
      <c r="CD76" s="100">
        <f t="shared" si="69"/>
        <v>322</v>
      </c>
      <c r="CE76" s="132" t="s">
        <v>38</v>
      </c>
      <c r="CF76" s="126" t="s">
        <v>38</v>
      </c>
      <c r="CG76" s="100">
        <v>5</v>
      </c>
      <c r="CH76" s="115">
        <f>33.75+77.63</f>
        <v>111.38</v>
      </c>
      <c r="CI76" s="126" t="s">
        <v>153</v>
      </c>
      <c r="CJ76" s="126" t="s">
        <v>38</v>
      </c>
      <c r="CK76" s="126" t="s">
        <v>38</v>
      </c>
      <c r="CL76" s="126"/>
      <c r="CM76" s="126" t="s">
        <v>408</v>
      </c>
      <c r="CN76" s="110"/>
      <c r="CO76" s="100">
        <v>0</v>
      </c>
      <c r="CP76" s="110"/>
      <c r="CQ76" s="110" t="s">
        <v>408</v>
      </c>
      <c r="CR76" s="126"/>
    </row>
    <row r="77" spans="1:96" s="113" customFormat="1" ht="25.5">
      <c r="A77" s="119" t="s">
        <v>174</v>
      </c>
      <c r="B77" s="119" t="s">
        <v>321</v>
      </c>
      <c r="C77" s="120">
        <v>30</v>
      </c>
      <c r="D77" s="96">
        <v>75</v>
      </c>
      <c r="E77" s="120">
        <v>9700</v>
      </c>
      <c r="F77" s="121">
        <v>10921</v>
      </c>
      <c r="G77" s="122">
        <v>2016679</v>
      </c>
      <c r="H77" s="123" t="s">
        <v>121</v>
      </c>
      <c r="I77" s="124">
        <v>36035</v>
      </c>
      <c r="J77" s="122">
        <f t="shared" si="58"/>
        <v>68.758384668035589</v>
      </c>
      <c r="K77" s="125">
        <v>0</v>
      </c>
      <c r="L77" s="123" t="s">
        <v>68</v>
      </c>
      <c r="M77" s="119" t="s">
        <v>209</v>
      </c>
      <c r="N77" s="120" t="s">
        <v>510</v>
      </c>
      <c r="O77" s="120">
        <v>0</v>
      </c>
      <c r="P77" s="120">
        <v>1</v>
      </c>
      <c r="Q77" s="120">
        <v>0</v>
      </c>
      <c r="R77" s="120">
        <v>0</v>
      </c>
      <c r="S77" s="120">
        <v>0</v>
      </c>
      <c r="T77" s="126" t="s">
        <v>35</v>
      </c>
      <c r="U77" s="103" t="s">
        <v>507</v>
      </c>
      <c r="V77" s="103">
        <v>0</v>
      </c>
      <c r="W77" s="103">
        <v>1</v>
      </c>
      <c r="X77" s="103">
        <v>0</v>
      </c>
      <c r="Y77" s="103">
        <v>0</v>
      </c>
      <c r="Z77" s="103">
        <v>0</v>
      </c>
      <c r="AA77" s="103">
        <v>0</v>
      </c>
      <c r="AB77" s="105">
        <v>35673</v>
      </c>
      <c r="AC77" s="105">
        <v>35818</v>
      </c>
      <c r="AD77" s="106">
        <f t="shared" si="59"/>
        <v>4.7638603696098558</v>
      </c>
      <c r="AE77" s="106">
        <v>0</v>
      </c>
      <c r="AF77" s="106">
        <v>0</v>
      </c>
      <c r="AG77" s="105" t="s">
        <v>391</v>
      </c>
      <c r="AH77" s="100">
        <v>0</v>
      </c>
      <c r="AI77" s="127" t="s">
        <v>327</v>
      </c>
      <c r="AJ77" s="105">
        <v>35818</v>
      </c>
      <c r="AK77" s="106">
        <f t="shared" si="60"/>
        <v>7.1293634496919918</v>
      </c>
      <c r="AL77" s="106">
        <f t="shared" si="61"/>
        <v>0</v>
      </c>
      <c r="AM77" s="106">
        <f t="shared" si="62"/>
        <v>11.893223819301848</v>
      </c>
      <c r="AN77" s="102">
        <v>5</v>
      </c>
      <c r="AO77" s="102">
        <v>0</v>
      </c>
      <c r="AP77" s="128">
        <v>36068</v>
      </c>
      <c r="AQ77" s="128">
        <v>36082</v>
      </c>
      <c r="AR77" s="129">
        <f t="shared" si="63"/>
        <v>2</v>
      </c>
      <c r="AS77" s="109">
        <v>10</v>
      </c>
      <c r="AT77" s="109">
        <v>5</v>
      </c>
      <c r="AU77" s="109">
        <f t="shared" si="52"/>
        <v>50</v>
      </c>
      <c r="AV77" s="109">
        <v>1</v>
      </c>
      <c r="AW77" s="109">
        <v>0</v>
      </c>
      <c r="AX77" s="109">
        <v>0</v>
      </c>
      <c r="AY77" s="109">
        <v>0</v>
      </c>
      <c r="AZ77" s="109">
        <v>0</v>
      </c>
      <c r="BA77" s="109">
        <v>0</v>
      </c>
      <c r="BB77" s="109">
        <v>0</v>
      </c>
      <c r="BC77" s="109">
        <v>1</v>
      </c>
      <c r="BD77" s="130">
        <v>1</v>
      </c>
      <c r="BE77" s="131">
        <v>36257</v>
      </c>
      <c r="BF77" s="124"/>
      <c r="BG77" s="124">
        <f t="shared" si="44"/>
        <v>36257</v>
      </c>
      <c r="BH77" s="124"/>
      <c r="BI77" s="102" t="s">
        <v>87</v>
      </c>
      <c r="BJ77" s="100">
        <f t="shared" si="64"/>
        <v>7.2936344969199176</v>
      </c>
      <c r="BK77" s="100">
        <f t="shared" si="65"/>
        <v>222</v>
      </c>
      <c r="BL77" s="100">
        <v>0</v>
      </c>
      <c r="BM77" s="110"/>
      <c r="BN77" s="100"/>
      <c r="BO77" s="100">
        <f>BJ77</f>
        <v>7.2936344969199176</v>
      </c>
      <c r="BP77" s="100">
        <f t="shared" si="66"/>
        <v>222</v>
      </c>
      <c r="BQ77" s="100">
        <v>1</v>
      </c>
      <c r="BR77" s="110">
        <v>36194</v>
      </c>
      <c r="BS77" s="106">
        <f>(BR77-I77)*12/365.25</f>
        <v>5.2238193018480494</v>
      </c>
      <c r="BT77" s="100">
        <f t="shared" si="67"/>
        <v>159</v>
      </c>
      <c r="BU77" s="100">
        <v>1</v>
      </c>
      <c r="BV77" s="100"/>
      <c r="BW77" s="100"/>
      <c r="BX77" s="110">
        <f>BR77</f>
        <v>36194</v>
      </c>
      <c r="BY77" s="100">
        <f>(BX77-I77)*12/365.25</f>
        <v>5.2238193018480494</v>
      </c>
      <c r="BZ77" s="100">
        <f t="shared" si="47"/>
        <v>159</v>
      </c>
      <c r="CA77" s="100">
        <f t="shared" si="54"/>
        <v>1</v>
      </c>
      <c r="CB77" s="110">
        <f>BX77</f>
        <v>36194</v>
      </c>
      <c r="CC77" s="100">
        <f t="shared" si="68"/>
        <v>5.2238193018480494</v>
      </c>
      <c r="CD77" s="100">
        <f t="shared" si="69"/>
        <v>159</v>
      </c>
      <c r="CE77" s="132" t="s">
        <v>38</v>
      </c>
      <c r="CF77" s="126" t="s">
        <v>38</v>
      </c>
      <c r="CG77" s="100">
        <v>4</v>
      </c>
      <c r="CH77" s="115">
        <f>16.84+14.87+10.22+25.07+5.52</f>
        <v>72.52</v>
      </c>
      <c r="CI77" s="126" t="s">
        <v>38</v>
      </c>
      <c r="CJ77" s="126" t="s">
        <v>38</v>
      </c>
      <c r="CK77" s="126" t="s">
        <v>38</v>
      </c>
      <c r="CL77" s="126"/>
      <c r="CM77" s="126" t="s">
        <v>408</v>
      </c>
      <c r="CN77" s="110"/>
      <c r="CO77" s="100">
        <v>0</v>
      </c>
      <c r="CP77" s="110"/>
      <c r="CQ77" s="110" t="s">
        <v>408</v>
      </c>
      <c r="CR77" s="126"/>
    </row>
    <row r="78" spans="1:96" s="113" customFormat="1" ht="51">
      <c r="A78" s="119" t="s">
        <v>276</v>
      </c>
      <c r="B78" s="119" t="s">
        <v>118</v>
      </c>
      <c r="C78" s="120">
        <v>31</v>
      </c>
      <c r="D78" s="96">
        <v>76</v>
      </c>
      <c r="E78" s="120">
        <v>9700</v>
      </c>
      <c r="F78" s="121">
        <v>13932</v>
      </c>
      <c r="G78" s="122">
        <v>621892</v>
      </c>
      <c r="H78" s="123" t="s">
        <v>121</v>
      </c>
      <c r="I78" s="124">
        <v>36042</v>
      </c>
      <c r="J78" s="122">
        <f t="shared" si="58"/>
        <v>60.533880903490761</v>
      </c>
      <c r="K78" s="125">
        <v>1</v>
      </c>
      <c r="L78" s="123" t="s">
        <v>68</v>
      </c>
      <c r="M78" s="119" t="s">
        <v>327</v>
      </c>
      <c r="N78" s="120" t="s">
        <v>510</v>
      </c>
      <c r="O78" s="120">
        <v>0</v>
      </c>
      <c r="P78" s="120">
        <v>1</v>
      </c>
      <c r="Q78" s="120">
        <v>0</v>
      </c>
      <c r="R78" s="120">
        <v>0</v>
      </c>
      <c r="S78" s="120">
        <v>0</v>
      </c>
      <c r="T78" s="126" t="s">
        <v>225</v>
      </c>
      <c r="U78" s="103" t="s">
        <v>509</v>
      </c>
      <c r="V78" s="103">
        <v>0</v>
      </c>
      <c r="W78" s="103">
        <v>0</v>
      </c>
      <c r="X78" s="103">
        <v>0</v>
      </c>
      <c r="Y78" s="103">
        <v>0</v>
      </c>
      <c r="Z78" s="103">
        <v>0</v>
      </c>
      <c r="AA78" s="103">
        <v>0</v>
      </c>
      <c r="AB78" s="105">
        <v>35475</v>
      </c>
      <c r="AC78" s="105">
        <v>35915</v>
      </c>
      <c r="AD78" s="106">
        <f t="shared" si="59"/>
        <v>14.455852156057494</v>
      </c>
      <c r="AE78" s="106">
        <v>0</v>
      </c>
      <c r="AF78" s="106">
        <v>0</v>
      </c>
      <c r="AG78" s="105" t="s">
        <v>391</v>
      </c>
      <c r="AH78" s="100">
        <v>0</v>
      </c>
      <c r="AI78" s="127" t="s">
        <v>327</v>
      </c>
      <c r="AJ78" s="105">
        <v>35915</v>
      </c>
      <c r="AK78" s="106">
        <f t="shared" si="60"/>
        <v>4.1724845995893221</v>
      </c>
      <c r="AL78" s="106">
        <f t="shared" si="61"/>
        <v>0</v>
      </c>
      <c r="AM78" s="106">
        <f t="shared" si="62"/>
        <v>18.628336755646817</v>
      </c>
      <c r="AN78" s="102">
        <v>1</v>
      </c>
      <c r="AO78" s="102">
        <v>1</v>
      </c>
      <c r="AP78" s="128">
        <v>36055</v>
      </c>
      <c r="AQ78" s="128">
        <v>36069</v>
      </c>
      <c r="AR78" s="129">
        <f t="shared" si="63"/>
        <v>2</v>
      </c>
      <c r="AS78" s="109">
        <v>10</v>
      </c>
      <c r="AT78" s="109">
        <v>5</v>
      </c>
      <c r="AU78" s="109">
        <f t="shared" si="52"/>
        <v>50</v>
      </c>
      <c r="AV78" s="109">
        <v>1</v>
      </c>
      <c r="AW78" s="109">
        <v>0</v>
      </c>
      <c r="AX78" s="109">
        <v>0</v>
      </c>
      <c r="AY78" s="109">
        <v>0</v>
      </c>
      <c r="AZ78" s="109">
        <v>0</v>
      </c>
      <c r="BA78" s="109">
        <v>0</v>
      </c>
      <c r="BB78" s="109">
        <v>0</v>
      </c>
      <c r="BC78" s="109">
        <v>1</v>
      </c>
      <c r="BD78" s="130">
        <v>1</v>
      </c>
      <c r="BE78" s="131">
        <v>36870</v>
      </c>
      <c r="BF78" s="124">
        <v>36859</v>
      </c>
      <c r="BG78" s="124">
        <f t="shared" si="44"/>
        <v>36870</v>
      </c>
      <c r="BH78" s="124"/>
      <c r="BI78" s="102" t="s">
        <v>224</v>
      </c>
      <c r="BJ78" s="100">
        <f t="shared" si="64"/>
        <v>27.203285420944557</v>
      </c>
      <c r="BK78" s="100">
        <f t="shared" si="65"/>
        <v>828</v>
      </c>
      <c r="BL78" s="100">
        <v>0</v>
      </c>
      <c r="BM78" s="110"/>
      <c r="BN78" s="100"/>
      <c r="BO78" s="100">
        <f>(BF78-I78)*12/365.25</f>
        <v>26.84188911704312</v>
      </c>
      <c r="BP78" s="100">
        <f t="shared" si="66"/>
        <v>817</v>
      </c>
      <c r="BQ78" s="100">
        <v>0</v>
      </c>
      <c r="BR78" s="110"/>
      <c r="BS78" s="106">
        <f>(BF78-I78)*12/365.25</f>
        <v>26.84188911704312</v>
      </c>
      <c r="BT78" s="100">
        <f t="shared" si="67"/>
        <v>817</v>
      </c>
      <c r="BU78" s="100">
        <f>BQ78+BL78</f>
        <v>0</v>
      </c>
      <c r="BV78" s="100"/>
      <c r="BW78" s="100"/>
      <c r="BX78" s="110"/>
      <c r="BY78" s="100">
        <f>(BF78-I78)*12/365.25</f>
        <v>26.84188911704312</v>
      </c>
      <c r="BZ78" s="100">
        <f t="shared" si="47"/>
        <v>817</v>
      </c>
      <c r="CA78" s="100">
        <f t="shared" si="54"/>
        <v>0</v>
      </c>
      <c r="CB78" s="110"/>
      <c r="CC78" s="100">
        <f t="shared" si="68"/>
        <v>26.84188911704312</v>
      </c>
      <c r="CD78" s="100">
        <f t="shared" si="69"/>
        <v>817</v>
      </c>
      <c r="CE78" s="132" t="s">
        <v>22</v>
      </c>
      <c r="CF78" s="126" t="s">
        <v>61</v>
      </c>
      <c r="CG78" s="100">
        <v>3</v>
      </c>
      <c r="CH78" s="115">
        <v>28</v>
      </c>
      <c r="CI78" s="126" t="s">
        <v>38</v>
      </c>
      <c r="CJ78" s="126" t="s">
        <v>38</v>
      </c>
      <c r="CK78" s="126" t="s">
        <v>38</v>
      </c>
      <c r="CL78" s="126"/>
      <c r="CM78" s="126" t="s">
        <v>408</v>
      </c>
      <c r="CN78" s="110"/>
      <c r="CO78" s="100">
        <v>0</v>
      </c>
      <c r="CP78" s="110"/>
      <c r="CQ78" s="110" t="s">
        <v>408</v>
      </c>
      <c r="CR78" s="126"/>
    </row>
    <row r="79" spans="1:96" s="113" customFormat="1" ht="25.5">
      <c r="A79" s="119" t="s">
        <v>119</v>
      </c>
      <c r="B79" s="119" t="s">
        <v>120</v>
      </c>
      <c r="C79" s="120">
        <v>32</v>
      </c>
      <c r="D79" s="96">
        <v>77</v>
      </c>
      <c r="E79" s="120">
        <v>9700</v>
      </c>
      <c r="F79" s="121">
        <v>18800</v>
      </c>
      <c r="G79" s="122">
        <v>2022890</v>
      </c>
      <c r="H79" s="123" t="s">
        <v>121</v>
      </c>
      <c r="I79" s="124">
        <v>36028</v>
      </c>
      <c r="J79" s="122">
        <f t="shared" si="58"/>
        <v>47.167693360711844</v>
      </c>
      <c r="K79" s="125">
        <v>0</v>
      </c>
      <c r="L79" s="123" t="s">
        <v>49</v>
      </c>
      <c r="M79" s="119" t="s">
        <v>127</v>
      </c>
      <c r="N79" s="120" t="s">
        <v>107</v>
      </c>
      <c r="O79" s="120">
        <v>1</v>
      </c>
      <c r="P79" s="120">
        <v>0</v>
      </c>
      <c r="Q79" s="120">
        <v>0</v>
      </c>
      <c r="R79" s="120">
        <v>0</v>
      </c>
      <c r="S79" s="120">
        <v>0</v>
      </c>
      <c r="T79" s="126" t="s">
        <v>155</v>
      </c>
      <c r="U79" s="103" t="s">
        <v>402</v>
      </c>
      <c r="V79" s="103">
        <v>1</v>
      </c>
      <c r="W79" s="103">
        <v>0</v>
      </c>
      <c r="X79" s="103">
        <v>0</v>
      </c>
      <c r="Y79" s="103">
        <v>0</v>
      </c>
      <c r="Z79" s="103">
        <v>0</v>
      </c>
      <c r="AA79" s="103">
        <v>0</v>
      </c>
      <c r="AB79" s="105">
        <v>35550</v>
      </c>
      <c r="AC79" s="105">
        <v>35946</v>
      </c>
      <c r="AD79" s="106">
        <f t="shared" si="59"/>
        <v>13.010266940451746</v>
      </c>
      <c r="AE79" s="106">
        <v>1</v>
      </c>
      <c r="AF79" s="106">
        <v>0</v>
      </c>
      <c r="AG79" s="105" t="s">
        <v>387</v>
      </c>
      <c r="AH79" s="100">
        <v>1</v>
      </c>
      <c r="AI79" s="127" t="s">
        <v>315</v>
      </c>
      <c r="AJ79" s="105">
        <v>35946</v>
      </c>
      <c r="AK79" s="106">
        <f t="shared" si="60"/>
        <v>2.6940451745379876</v>
      </c>
      <c r="AL79" s="106">
        <f t="shared" si="61"/>
        <v>0</v>
      </c>
      <c r="AM79" s="106">
        <f t="shared" si="62"/>
        <v>15.704312114989733</v>
      </c>
      <c r="AN79" s="102">
        <v>1</v>
      </c>
      <c r="AO79" s="102">
        <v>1</v>
      </c>
      <c r="AP79" s="128">
        <v>36048</v>
      </c>
      <c r="AQ79" s="128">
        <v>36063</v>
      </c>
      <c r="AR79" s="129">
        <f t="shared" si="63"/>
        <v>2.1428571428571428</v>
      </c>
      <c r="AS79" s="109">
        <v>10</v>
      </c>
      <c r="AT79" s="109">
        <v>5</v>
      </c>
      <c r="AU79" s="109">
        <f t="shared" si="52"/>
        <v>50</v>
      </c>
      <c r="AV79" s="109">
        <v>0</v>
      </c>
      <c r="AW79" s="109">
        <v>0</v>
      </c>
      <c r="AX79" s="109">
        <v>1</v>
      </c>
      <c r="AY79" s="109">
        <v>0</v>
      </c>
      <c r="AZ79" s="109">
        <v>0</v>
      </c>
      <c r="BA79" s="109">
        <v>0</v>
      </c>
      <c r="BB79" s="109">
        <v>0</v>
      </c>
      <c r="BC79" s="109">
        <v>1</v>
      </c>
      <c r="BD79" s="130">
        <v>1</v>
      </c>
      <c r="BE79" s="131">
        <v>36460</v>
      </c>
      <c r="BF79" s="124"/>
      <c r="BG79" s="124">
        <f t="shared" si="44"/>
        <v>36460</v>
      </c>
      <c r="BH79" s="124"/>
      <c r="BI79" s="102" t="s">
        <v>82</v>
      </c>
      <c r="BJ79" s="100">
        <f t="shared" si="64"/>
        <v>14.193018480492814</v>
      </c>
      <c r="BK79" s="100">
        <f t="shared" si="65"/>
        <v>432</v>
      </c>
      <c r="BL79" s="100">
        <v>0</v>
      </c>
      <c r="BM79" s="110"/>
      <c r="BN79" s="100"/>
      <c r="BO79" s="100">
        <f>BJ79</f>
        <v>14.193018480492814</v>
      </c>
      <c r="BP79" s="100">
        <f t="shared" si="66"/>
        <v>432</v>
      </c>
      <c r="BQ79" s="100">
        <v>1</v>
      </c>
      <c r="BR79" s="110">
        <v>36356</v>
      </c>
      <c r="BS79" s="106">
        <f>(BR79-I79)*12/365.25</f>
        <v>10.776180698151951</v>
      </c>
      <c r="BT79" s="100">
        <f t="shared" si="67"/>
        <v>328</v>
      </c>
      <c r="BU79" s="100">
        <f>BQ79+BL79</f>
        <v>1</v>
      </c>
      <c r="BV79" s="100"/>
      <c r="BW79" s="100"/>
      <c r="BX79" s="110">
        <f>BR79</f>
        <v>36356</v>
      </c>
      <c r="BY79" s="100">
        <f>(BX79-I79)*12/365.25</f>
        <v>10.776180698151951</v>
      </c>
      <c r="BZ79" s="100">
        <f t="shared" si="47"/>
        <v>328</v>
      </c>
      <c r="CA79" s="100">
        <f t="shared" si="54"/>
        <v>1</v>
      </c>
      <c r="CB79" s="110">
        <f>BX79</f>
        <v>36356</v>
      </c>
      <c r="CC79" s="100">
        <f t="shared" si="68"/>
        <v>10.776180698151951</v>
      </c>
      <c r="CD79" s="100">
        <f t="shared" si="69"/>
        <v>328</v>
      </c>
      <c r="CE79" s="132" t="s">
        <v>38</v>
      </c>
      <c r="CF79" s="126" t="s">
        <v>38</v>
      </c>
      <c r="CG79" s="100">
        <v>4</v>
      </c>
      <c r="CH79" s="115">
        <v>62</v>
      </c>
      <c r="CI79" s="126" t="s">
        <v>144</v>
      </c>
      <c r="CJ79" s="126" t="s">
        <v>185</v>
      </c>
      <c r="CK79" s="126" t="s">
        <v>363</v>
      </c>
      <c r="CL79" s="126"/>
      <c r="CM79" s="126" t="s">
        <v>408</v>
      </c>
      <c r="CN79" s="110">
        <v>36256</v>
      </c>
      <c r="CO79" s="100">
        <v>1</v>
      </c>
      <c r="CP79" s="100">
        <f>(CN79-AP79)*12/365.25</f>
        <v>6.8336755646817249</v>
      </c>
      <c r="CQ79" s="100" t="s">
        <v>389</v>
      </c>
      <c r="CR79" s="126"/>
    </row>
    <row r="80" spans="1:96">
      <c r="A80" s="119" t="s">
        <v>138</v>
      </c>
      <c r="B80" s="119" t="s">
        <v>139</v>
      </c>
      <c r="C80" s="120">
        <v>34</v>
      </c>
      <c r="D80" s="96">
        <v>78</v>
      </c>
      <c r="E80" s="120">
        <v>9700</v>
      </c>
      <c r="F80" s="121">
        <v>4036</v>
      </c>
      <c r="G80" s="122">
        <v>147039</v>
      </c>
      <c r="H80" s="123" t="s">
        <v>121</v>
      </c>
      <c r="I80" s="124">
        <v>36049</v>
      </c>
      <c r="J80" s="122">
        <f t="shared" si="58"/>
        <v>87.646817248459953</v>
      </c>
      <c r="K80" s="125">
        <v>1</v>
      </c>
      <c r="L80" s="123" t="s">
        <v>170</v>
      </c>
      <c r="M80" s="119" t="s">
        <v>64</v>
      </c>
      <c r="N80" s="120" t="s">
        <v>107</v>
      </c>
      <c r="O80" s="120">
        <v>1</v>
      </c>
      <c r="P80" s="120">
        <v>0</v>
      </c>
      <c r="Q80" s="120">
        <v>0</v>
      </c>
      <c r="R80" s="120">
        <v>0</v>
      </c>
      <c r="S80" s="120">
        <v>0</v>
      </c>
      <c r="T80" s="126" t="s">
        <v>155</v>
      </c>
      <c r="U80" s="103" t="s">
        <v>402</v>
      </c>
      <c r="V80" s="103">
        <v>1</v>
      </c>
      <c r="W80" s="103">
        <v>0</v>
      </c>
      <c r="X80" s="103">
        <v>0</v>
      </c>
      <c r="Y80" s="103">
        <v>0</v>
      </c>
      <c r="Z80" s="103">
        <v>0</v>
      </c>
      <c r="AA80" s="103">
        <v>0</v>
      </c>
      <c r="AB80" s="105">
        <v>32985</v>
      </c>
      <c r="AC80" s="105">
        <v>32985</v>
      </c>
      <c r="AD80" s="106">
        <f t="shared" si="59"/>
        <v>0</v>
      </c>
      <c r="AE80" s="106">
        <v>1</v>
      </c>
      <c r="AF80" s="106">
        <v>0</v>
      </c>
      <c r="AG80" s="105" t="s">
        <v>389</v>
      </c>
      <c r="AH80" s="100">
        <v>1</v>
      </c>
      <c r="AI80" s="127" t="s">
        <v>315</v>
      </c>
      <c r="AJ80" s="105">
        <v>35764</v>
      </c>
      <c r="AK80" s="106">
        <f t="shared" si="60"/>
        <v>9.3634496919917858</v>
      </c>
      <c r="AL80" s="106">
        <f t="shared" si="61"/>
        <v>91.301848049281318</v>
      </c>
      <c r="AM80" s="106">
        <f t="shared" si="62"/>
        <v>100.66529774127311</v>
      </c>
      <c r="AN80" s="102">
        <v>3</v>
      </c>
      <c r="AO80" s="102">
        <v>0</v>
      </c>
      <c r="AP80" s="128">
        <v>36047</v>
      </c>
      <c r="AQ80" s="128">
        <v>36070</v>
      </c>
      <c r="AR80" s="129">
        <f t="shared" si="63"/>
        <v>3.2857142857142856</v>
      </c>
      <c r="AS80" s="109">
        <v>13</v>
      </c>
      <c r="AT80" s="109">
        <v>4</v>
      </c>
      <c r="AU80" s="109">
        <f t="shared" si="52"/>
        <v>52</v>
      </c>
      <c r="AV80" s="109">
        <v>0</v>
      </c>
      <c r="AW80" s="109">
        <v>0</v>
      </c>
      <c r="AX80" s="109">
        <v>1</v>
      </c>
      <c r="AY80" s="109">
        <v>0</v>
      </c>
      <c r="AZ80" s="109">
        <v>0</v>
      </c>
      <c r="BA80" s="109">
        <v>0</v>
      </c>
      <c r="BB80" s="109">
        <v>0</v>
      </c>
      <c r="BC80" s="109">
        <v>1</v>
      </c>
      <c r="BD80" s="130">
        <v>1</v>
      </c>
      <c r="BE80" s="131">
        <v>36459</v>
      </c>
      <c r="BF80" s="124">
        <v>36413</v>
      </c>
      <c r="BG80" s="124">
        <f t="shared" ref="BG80:BG111" si="70">BE80</f>
        <v>36459</v>
      </c>
      <c r="BH80" s="124"/>
      <c r="BI80" s="102" t="s">
        <v>87</v>
      </c>
      <c r="BJ80" s="100">
        <f t="shared" si="64"/>
        <v>13.470225872689939</v>
      </c>
      <c r="BK80" s="100">
        <f t="shared" si="65"/>
        <v>410</v>
      </c>
      <c r="BL80" s="100">
        <v>0</v>
      </c>
      <c r="BM80" s="110"/>
      <c r="BN80" s="100"/>
      <c r="BO80" s="100">
        <f>(BF80-I80)*12/365.25</f>
        <v>11.958932238193018</v>
      </c>
      <c r="BP80" s="100">
        <f t="shared" si="66"/>
        <v>364</v>
      </c>
      <c r="BQ80" s="100">
        <v>0</v>
      </c>
      <c r="BR80" s="110"/>
      <c r="BS80" s="106">
        <f>(BF80-I80)*12/365.25</f>
        <v>11.958932238193018</v>
      </c>
      <c r="BT80" s="100">
        <f t="shared" si="67"/>
        <v>364</v>
      </c>
      <c r="BU80" s="100">
        <f>BQ80+BL80</f>
        <v>0</v>
      </c>
      <c r="BV80" s="100"/>
      <c r="BW80" s="100"/>
      <c r="BX80" s="110"/>
      <c r="BY80" s="100">
        <f>(BF80-I80)*12/365.25</f>
        <v>11.958932238193018</v>
      </c>
      <c r="BZ80" s="100">
        <f t="shared" si="47"/>
        <v>364</v>
      </c>
      <c r="CA80" s="100">
        <f t="shared" si="54"/>
        <v>0</v>
      </c>
      <c r="CB80" s="110"/>
      <c r="CC80" s="100">
        <f t="shared" si="68"/>
        <v>11.958932238193018</v>
      </c>
      <c r="CD80" s="100">
        <f t="shared" si="69"/>
        <v>364</v>
      </c>
      <c r="CE80" s="132" t="s">
        <v>38</v>
      </c>
      <c r="CF80" s="126" t="s">
        <v>38</v>
      </c>
      <c r="CG80" s="100">
        <v>3</v>
      </c>
      <c r="CH80" s="115">
        <f>9.32+21.55+0.85</f>
        <v>31.720000000000002</v>
      </c>
      <c r="CI80" s="126" t="s">
        <v>4</v>
      </c>
      <c r="CJ80" s="126" t="s">
        <v>41</v>
      </c>
      <c r="CK80" s="126" t="s">
        <v>363</v>
      </c>
      <c r="CL80" s="126"/>
      <c r="CM80" s="126" t="s">
        <v>408</v>
      </c>
      <c r="CN80" s="110">
        <v>36319</v>
      </c>
      <c r="CO80" s="100">
        <v>1</v>
      </c>
      <c r="CP80" s="100">
        <f>(CN80-AP80)*12/365.25</f>
        <v>8.9363449691991779</v>
      </c>
      <c r="CQ80" s="100" t="s">
        <v>389</v>
      </c>
      <c r="CR80" s="126"/>
    </row>
    <row r="81" spans="1:96" ht="25.5">
      <c r="A81" s="119" t="s">
        <v>29</v>
      </c>
      <c r="B81" s="119" t="s">
        <v>303</v>
      </c>
      <c r="C81" s="120">
        <v>35</v>
      </c>
      <c r="D81" s="96">
        <v>79</v>
      </c>
      <c r="E81" s="120">
        <v>9700</v>
      </c>
      <c r="F81" s="121">
        <v>18308</v>
      </c>
      <c r="G81" s="122">
        <v>2000861</v>
      </c>
      <c r="H81" s="123" t="s">
        <v>121</v>
      </c>
      <c r="I81" s="124">
        <v>36082</v>
      </c>
      <c r="J81" s="122">
        <f t="shared" si="58"/>
        <v>48.662559890485966</v>
      </c>
      <c r="K81" s="125">
        <v>0</v>
      </c>
      <c r="L81" s="123" t="s">
        <v>170</v>
      </c>
      <c r="M81" s="119" t="s">
        <v>315</v>
      </c>
      <c r="N81" s="120" t="s">
        <v>511</v>
      </c>
      <c r="O81" s="120">
        <v>0</v>
      </c>
      <c r="P81" s="120">
        <v>0</v>
      </c>
      <c r="Q81" s="120">
        <v>0</v>
      </c>
      <c r="R81" s="120">
        <v>0</v>
      </c>
      <c r="S81" s="120">
        <v>1</v>
      </c>
      <c r="T81" s="133" t="s">
        <v>255</v>
      </c>
      <c r="U81" s="103" t="s">
        <v>505</v>
      </c>
      <c r="V81" s="103">
        <v>0</v>
      </c>
      <c r="W81" s="103">
        <v>0</v>
      </c>
      <c r="X81" s="103">
        <v>0</v>
      </c>
      <c r="Y81" s="103">
        <v>0</v>
      </c>
      <c r="Z81" s="103">
        <v>0</v>
      </c>
      <c r="AA81" s="103">
        <v>1</v>
      </c>
      <c r="AB81" s="105">
        <v>35607</v>
      </c>
      <c r="AC81" s="105">
        <v>36008</v>
      </c>
      <c r="AD81" s="106">
        <f t="shared" si="59"/>
        <v>13.17453798767967</v>
      </c>
      <c r="AE81" s="106">
        <v>0</v>
      </c>
      <c r="AF81" s="106">
        <v>0</v>
      </c>
      <c r="AG81" s="105" t="s">
        <v>391</v>
      </c>
      <c r="AH81" s="100">
        <v>0</v>
      </c>
      <c r="AI81" s="127" t="s">
        <v>315</v>
      </c>
      <c r="AJ81" s="105">
        <v>36008</v>
      </c>
      <c r="AK81" s="106">
        <f t="shared" si="60"/>
        <v>2.431211498973306</v>
      </c>
      <c r="AL81" s="106">
        <f t="shared" si="61"/>
        <v>0</v>
      </c>
      <c r="AM81" s="106">
        <f t="shared" si="62"/>
        <v>15.605749486652977</v>
      </c>
      <c r="AN81" s="102">
        <v>3</v>
      </c>
      <c r="AO81" s="102">
        <v>0</v>
      </c>
      <c r="AP81" s="128">
        <v>36090</v>
      </c>
      <c r="AQ81" s="128">
        <v>36102</v>
      </c>
      <c r="AR81" s="129">
        <f t="shared" si="63"/>
        <v>1.7142857142857142</v>
      </c>
      <c r="AS81" s="109">
        <v>10</v>
      </c>
      <c r="AT81" s="109">
        <v>5</v>
      </c>
      <c r="AU81" s="109">
        <f t="shared" si="52"/>
        <v>50</v>
      </c>
      <c r="AV81" s="109">
        <v>0</v>
      </c>
      <c r="AW81" s="109">
        <v>0</v>
      </c>
      <c r="AX81" s="109">
        <v>1</v>
      </c>
      <c r="AY81" s="109">
        <v>0</v>
      </c>
      <c r="AZ81" s="109">
        <v>0</v>
      </c>
      <c r="BA81" s="109">
        <v>0</v>
      </c>
      <c r="BB81" s="109">
        <v>0</v>
      </c>
      <c r="BC81" s="109">
        <v>1</v>
      </c>
      <c r="BD81" s="130">
        <v>1</v>
      </c>
      <c r="BE81" s="131">
        <v>37116</v>
      </c>
      <c r="BF81" s="124"/>
      <c r="BG81" s="124">
        <f t="shared" si="70"/>
        <v>37116</v>
      </c>
      <c r="BH81" s="124"/>
      <c r="BI81" s="102" t="s">
        <v>82</v>
      </c>
      <c r="BJ81" s="100">
        <f t="shared" si="64"/>
        <v>33.971252566735117</v>
      </c>
      <c r="BK81" s="100">
        <f t="shared" si="65"/>
        <v>1034.0000000000002</v>
      </c>
      <c r="BL81" s="100">
        <v>1</v>
      </c>
      <c r="BM81" s="110">
        <v>36442</v>
      </c>
      <c r="BN81" s="100">
        <f>(BM81-AQ81)*12/365.25</f>
        <v>11.170431211498974</v>
      </c>
      <c r="BO81" s="100">
        <f>(BM81-I81)*12/365.25</f>
        <v>11.827515400410677</v>
      </c>
      <c r="BP81" s="100">
        <f t="shared" si="66"/>
        <v>360</v>
      </c>
      <c r="BQ81" s="100">
        <v>1</v>
      </c>
      <c r="BR81" s="110">
        <v>36697</v>
      </c>
      <c r="BS81" s="106">
        <f t="shared" ref="BS81:BS103" si="71">(BR81-I81)*12/365.25</f>
        <v>20.205338809034906</v>
      </c>
      <c r="BT81" s="100">
        <f t="shared" si="67"/>
        <v>614.99999999999989</v>
      </c>
      <c r="BU81" s="100">
        <v>1</v>
      </c>
      <c r="BV81" s="100"/>
      <c r="BW81" s="100"/>
      <c r="BX81" s="110">
        <f>BM81</f>
        <v>36442</v>
      </c>
      <c r="BY81" s="100">
        <f t="shared" ref="BY81:BY103" si="72">(BX81-I81)*12/365.25</f>
        <v>11.827515400410677</v>
      </c>
      <c r="BZ81" s="100">
        <f t="shared" si="47"/>
        <v>360</v>
      </c>
      <c r="CA81" s="116">
        <f t="shared" si="54"/>
        <v>1</v>
      </c>
      <c r="CB81" s="117">
        <v>36697</v>
      </c>
      <c r="CC81" s="116">
        <f>(CB81-I81)*12/365.25</f>
        <v>20.205338809034906</v>
      </c>
      <c r="CD81" s="116">
        <f>CC81*365.25/12</f>
        <v>614.99999999999989</v>
      </c>
      <c r="CE81" s="132" t="s">
        <v>22</v>
      </c>
      <c r="CF81" s="126" t="s">
        <v>285</v>
      </c>
      <c r="CG81" s="100">
        <v>1</v>
      </c>
      <c r="CH81" s="115">
        <f>1.52+3.48+4.45</f>
        <v>9.4499999999999993</v>
      </c>
      <c r="CI81" s="126" t="s">
        <v>339</v>
      </c>
      <c r="CJ81" s="126" t="s">
        <v>38</v>
      </c>
      <c r="CK81" s="126" t="s">
        <v>38</v>
      </c>
      <c r="CL81" s="126"/>
      <c r="CM81" s="126" t="s">
        <v>389</v>
      </c>
      <c r="CN81" s="110"/>
      <c r="CO81" s="100">
        <v>0</v>
      </c>
      <c r="CP81" s="110"/>
      <c r="CQ81" s="110" t="s">
        <v>408</v>
      </c>
      <c r="CR81" s="126"/>
    </row>
    <row r="82" spans="1:96" s="113" customFormat="1" ht="38.25">
      <c r="A82" s="119" t="s">
        <v>60</v>
      </c>
      <c r="B82" s="119" t="s">
        <v>334</v>
      </c>
      <c r="C82" s="120">
        <v>38</v>
      </c>
      <c r="D82" s="96">
        <v>80</v>
      </c>
      <c r="E82" s="120">
        <v>9700</v>
      </c>
      <c r="F82" s="121">
        <v>13702</v>
      </c>
      <c r="G82" s="122">
        <v>576732</v>
      </c>
      <c r="H82" s="123" t="s">
        <v>121</v>
      </c>
      <c r="I82" s="124">
        <v>36140</v>
      </c>
      <c r="J82" s="122">
        <f t="shared" si="58"/>
        <v>61.431895961670087</v>
      </c>
      <c r="K82" s="125">
        <v>1</v>
      </c>
      <c r="L82" s="123" t="s">
        <v>346</v>
      </c>
      <c r="M82" s="119" t="s">
        <v>70</v>
      </c>
      <c r="N82" s="120" t="s">
        <v>504</v>
      </c>
      <c r="O82" s="120">
        <v>0</v>
      </c>
      <c r="P82" s="120">
        <v>0</v>
      </c>
      <c r="Q82" s="120">
        <v>0</v>
      </c>
      <c r="R82" s="120">
        <v>1</v>
      </c>
      <c r="S82" s="120">
        <v>0</v>
      </c>
      <c r="T82" s="126" t="s">
        <v>125</v>
      </c>
      <c r="U82" s="103" t="s">
        <v>504</v>
      </c>
      <c r="V82" s="103">
        <v>0</v>
      </c>
      <c r="W82" s="103">
        <v>0</v>
      </c>
      <c r="X82" s="103">
        <v>0</v>
      </c>
      <c r="Y82" s="103">
        <v>0</v>
      </c>
      <c r="Z82" s="103">
        <v>1</v>
      </c>
      <c r="AA82" s="103">
        <v>0</v>
      </c>
      <c r="AB82" s="105">
        <v>34373</v>
      </c>
      <c r="AC82" s="105">
        <v>35369</v>
      </c>
      <c r="AD82" s="106">
        <f t="shared" si="59"/>
        <v>32.722792607802873</v>
      </c>
      <c r="AE82" s="106">
        <v>1</v>
      </c>
      <c r="AF82" s="106">
        <v>0</v>
      </c>
      <c r="AG82" s="105" t="s">
        <v>388</v>
      </c>
      <c r="AH82" s="100">
        <v>0</v>
      </c>
      <c r="AI82" s="127" t="s">
        <v>327</v>
      </c>
      <c r="AJ82" s="105">
        <v>35984</v>
      </c>
      <c r="AK82" s="106">
        <f t="shared" si="60"/>
        <v>5.1252566735112932</v>
      </c>
      <c r="AL82" s="106">
        <f t="shared" si="61"/>
        <v>20.20533880903491</v>
      </c>
      <c r="AM82" s="106">
        <f t="shared" si="62"/>
        <v>58.053388090349074</v>
      </c>
      <c r="AN82" s="102">
        <v>1</v>
      </c>
      <c r="AO82" s="102">
        <v>1</v>
      </c>
      <c r="AP82" s="128">
        <v>36144</v>
      </c>
      <c r="AQ82" s="128">
        <v>36159</v>
      </c>
      <c r="AR82" s="129">
        <f t="shared" si="63"/>
        <v>2.1428571428571428</v>
      </c>
      <c r="AS82" s="109">
        <v>10</v>
      </c>
      <c r="AT82" s="109">
        <v>54.5</v>
      </c>
      <c r="AU82" s="109">
        <f t="shared" si="52"/>
        <v>545</v>
      </c>
      <c r="AV82" s="109">
        <v>1</v>
      </c>
      <c r="AW82" s="109">
        <v>0</v>
      </c>
      <c r="AX82" s="109">
        <v>0</v>
      </c>
      <c r="AY82" s="109">
        <v>0</v>
      </c>
      <c r="AZ82" s="109">
        <v>0</v>
      </c>
      <c r="BA82" s="109">
        <v>0</v>
      </c>
      <c r="BB82" s="109">
        <v>0</v>
      </c>
      <c r="BC82" s="109">
        <v>1</v>
      </c>
      <c r="BD82" s="130">
        <v>1</v>
      </c>
      <c r="BE82" s="131">
        <v>37101</v>
      </c>
      <c r="BF82" s="124"/>
      <c r="BG82" s="124">
        <f t="shared" si="70"/>
        <v>37101</v>
      </c>
      <c r="BH82" s="124"/>
      <c r="BI82" s="102" t="s">
        <v>82</v>
      </c>
      <c r="BJ82" s="100">
        <f t="shared" si="64"/>
        <v>31.57289527720739</v>
      </c>
      <c r="BK82" s="100">
        <f t="shared" si="65"/>
        <v>961</v>
      </c>
      <c r="BL82" s="100">
        <v>0</v>
      </c>
      <c r="BM82" s="110"/>
      <c r="BN82" s="100"/>
      <c r="BO82" s="100">
        <f>BJ82</f>
        <v>31.57289527720739</v>
      </c>
      <c r="BP82" s="100">
        <f t="shared" si="66"/>
        <v>961</v>
      </c>
      <c r="BQ82" s="100">
        <v>1</v>
      </c>
      <c r="BR82" s="110">
        <v>36663</v>
      </c>
      <c r="BS82" s="106">
        <f t="shared" si="71"/>
        <v>17.182751540041068</v>
      </c>
      <c r="BT82" s="100">
        <f t="shared" si="67"/>
        <v>523</v>
      </c>
      <c r="BU82" s="100">
        <f>BQ82+BL82</f>
        <v>1</v>
      </c>
      <c r="BV82" s="100"/>
      <c r="BW82" s="100"/>
      <c r="BX82" s="110">
        <f t="shared" ref="BX82:BX103" si="73">BR82</f>
        <v>36663</v>
      </c>
      <c r="BY82" s="100">
        <f t="shared" si="72"/>
        <v>17.182751540041068</v>
      </c>
      <c r="BZ82" s="100">
        <f t="shared" si="47"/>
        <v>523</v>
      </c>
      <c r="CA82" s="100">
        <f t="shared" si="54"/>
        <v>1</v>
      </c>
      <c r="CB82" s="110">
        <f t="shared" ref="CB82:CB103" si="74">BX82</f>
        <v>36663</v>
      </c>
      <c r="CC82" s="100">
        <f t="shared" ref="CC82:CC103" si="75">BY82</f>
        <v>17.182751540041068</v>
      </c>
      <c r="CD82" s="100">
        <f t="shared" ref="CD82:CD103" si="76">BZ82</f>
        <v>523</v>
      </c>
      <c r="CE82" s="132" t="s">
        <v>22</v>
      </c>
      <c r="CF82" s="126" t="s">
        <v>83</v>
      </c>
      <c r="CG82" s="100">
        <v>1</v>
      </c>
      <c r="CH82" s="115">
        <v>7.63</v>
      </c>
      <c r="CI82" s="126" t="s">
        <v>392</v>
      </c>
      <c r="CJ82" s="126" t="s">
        <v>283</v>
      </c>
      <c r="CK82" s="126" t="s">
        <v>363</v>
      </c>
      <c r="CL82" s="126"/>
      <c r="CM82" s="126" t="s">
        <v>408</v>
      </c>
      <c r="CN82" s="110">
        <v>36235</v>
      </c>
      <c r="CO82" s="100">
        <v>1</v>
      </c>
      <c r="CP82" s="100">
        <f>(CN82-AP82)*12/365.25</f>
        <v>2.9897330595482545</v>
      </c>
      <c r="CQ82" s="100" t="s">
        <v>389</v>
      </c>
      <c r="CR82" s="126" t="s">
        <v>378</v>
      </c>
    </row>
    <row r="83" spans="1:96" s="113" customFormat="1" ht="51">
      <c r="A83" s="119" t="s">
        <v>7</v>
      </c>
      <c r="B83" s="119" t="s">
        <v>8</v>
      </c>
      <c r="C83" s="120">
        <v>43</v>
      </c>
      <c r="D83" s="96">
        <v>81</v>
      </c>
      <c r="E83" s="120">
        <v>9700</v>
      </c>
      <c r="F83" s="121">
        <v>15123</v>
      </c>
      <c r="G83" s="122">
        <v>1712713</v>
      </c>
      <c r="H83" s="123" t="s">
        <v>121</v>
      </c>
      <c r="I83" s="124">
        <v>36200</v>
      </c>
      <c r="J83" s="122">
        <f t="shared" si="58"/>
        <v>57.705681040383297</v>
      </c>
      <c r="K83" s="125">
        <v>1</v>
      </c>
      <c r="L83" s="123" t="s">
        <v>346</v>
      </c>
      <c r="M83" s="119" t="s">
        <v>327</v>
      </c>
      <c r="N83" s="120" t="s">
        <v>510</v>
      </c>
      <c r="O83" s="120">
        <v>0</v>
      </c>
      <c r="P83" s="120">
        <v>1</v>
      </c>
      <c r="Q83" s="120">
        <v>0</v>
      </c>
      <c r="R83" s="120">
        <v>0</v>
      </c>
      <c r="S83" s="120">
        <v>0</v>
      </c>
      <c r="T83" s="126" t="s">
        <v>493</v>
      </c>
      <c r="U83" s="103" t="s">
        <v>402</v>
      </c>
      <c r="V83" s="103">
        <v>1</v>
      </c>
      <c r="W83" s="103">
        <v>0</v>
      </c>
      <c r="X83" s="103">
        <v>0</v>
      </c>
      <c r="Y83" s="103">
        <v>0</v>
      </c>
      <c r="Z83" s="103">
        <v>0</v>
      </c>
      <c r="AA83" s="103">
        <v>0</v>
      </c>
      <c r="AB83" s="105">
        <v>36154</v>
      </c>
      <c r="AC83" s="105">
        <v>36154</v>
      </c>
      <c r="AD83" s="106">
        <f t="shared" si="59"/>
        <v>0</v>
      </c>
      <c r="AE83" s="106">
        <v>0</v>
      </c>
      <c r="AF83" s="106">
        <v>0</v>
      </c>
      <c r="AG83" s="105" t="s">
        <v>408</v>
      </c>
      <c r="AH83" s="100">
        <v>0</v>
      </c>
      <c r="AI83" s="127" t="s">
        <v>379</v>
      </c>
      <c r="AJ83" s="105">
        <v>36154</v>
      </c>
      <c r="AK83" s="106">
        <f t="shared" si="60"/>
        <v>1.5112936344969199</v>
      </c>
      <c r="AL83" s="106">
        <f t="shared" si="61"/>
        <v>0</v>
      </c>
      <c r="AM83" s="106">
        <f t="shared" si="62"/>
        <v>1.5112936344969199</v>
      </c>
      <c r="AN83" s="102">
        <v>4</v>
      </c>
      <c r="AO83" s="102">
        <v>0</v>
      </c>
      <c r="AP83" s="128">
        <v>36200</v>
      </c>
      <c r="AQ83" s="128">
        <v>36214</v>
      </c>
      <c r="AR83" s="129">
        <f t="shared" si="63"/>
        <v>2</v>
      </c>
      <c r="AS83" s="109">
        <v>10</v>
      </c>
      <c r="AT83" s="109">
        <v>5</v>
      </c>
      <c r="AU83" s="109">
        <f t="shared" si="52"/>
        <v>50</v>
      </c>
      <c r="AV83" s="109">
        <v>1</v>
      </c>
      <c r="AW83" s="109">
        <v>0</v>
      </c>
      <c r="AX83" s="109">
        <v>0</v>
      </c>
      <c r="AY83" s="109">
        <v>0</v>
      </c>
      <c r="AZ83" s="109">
        <v>1</v>
      </c>
      <c r="BA83" s="109">
        <v>0</v>
      </c>
      <c r="BB83" s="109">
        <v>0</v>
      </c>
      <c r="BC83" s="109">
        <v>2</v>
      </c>
      <c r="BD83" s="125">
        <v>1</v>
      </c>
      <c r="BE83" s="131">
        <v>36788</v>
      </c>
      <c r="BF83" s="124"/>
      <c r="BG83" s="124">
        <f t="shared" si="70"/>
        <v>36788</v>
      </c>
      <c r="BH83" s="124"/>
      <c r="BI83" s="102" t="s">
        <v>82</v>
      </c>
      <c r="BJ83" s="100">
        <f t="shared" si="64"/>
        <v>19.318275154004109</v>
      </c>
      <c r="BK83" s="100">
        <f t="shared" si="65"/>
        <v>588.00000000000011</v>
      </c>
      <c r="BL83" s="100">
        <v>0</v>
      </c>
      <c r="BM83" s="110"/>
      <c r="BN83" s="100"/>
      <c r="BO83" s="100">
        <f>BJ83</f>
        <v>19.318275154004109</v>
      </c>
      <c r="BP83" s="100">
        <f t="shared" si="66"/>
        <v>588.00000000000011</v>
      </c>
      <c r="BQ83" s="100">
        <v>1</v>
      </c>
      <c r="BR83" s="110">
        <v>36372</v>
      </c>
      <c r="BS83" s="106">
        <f t="shared" si="71"/>
        <v>5.6509240246406574</v>
      </c>
      <c r="BT83" s="100">
        <f t="shared" si="67"/>
        <v>172</v>
      </c>
      <c r="BU83" s="100">
        <f>BQ83+BL83</f>
        <v>1</v>
      </c>
      <c r="BV83" s="100"/>
      <c r="BW83" s="100"/>
      <c r="BX83" s="110">
        <f t="shared" si="73"/>
        <v>36372</v>
      </c>
      <c r="BY83" s="100">
        <f t="shared" si="72"/>
        <v>5.6509240246406574</v>
      </c>
      <c r="BZ83" s="100">
        <f t="shared" ref="BZ83:BZ114" si="77">BY83*365.25/12</f>
        <v>172</v>
      </c>
      <c r="CA83" s="100">
        <f t="shared" si="54"/>
        <v>1</v>
      </c>
      <c r="CB83" s="110">
        <f t="shared" si="74"/>
        <v>36372</v>
      </c>
      <c r="CC83" s="100">
        <f t="shared" si="75"/>
        <v>5.6509240246406574</v>
      </c>
      <c r="CD83" s="100">
        <f t="shared" si="76"/>
        <v>172</v>
      </c>
      <c r="CE83" s="132" t="s">
        <v>38</v>
      </c>
      <c r="CF83" s="126" t="s">
        <v>38</v>
      </c>
      <c r="CG83" s="100">
        <v>3</v>
      </c>
      <c r="CH83" s="115">
        <f>21.02+4.94+0.08+0.03</f>
        <v>26.07</v>
      </c>
      <c r="CI83" s="126" t="s">
        <v>33</v>
      </c>
      <c r="CJ83" s="126" t="s">
        <v>268</v>
      </c>
      <c r="CK83" s="126" t="s">
        <v>363</v>
      </c>
      <c r="CL83" s="126"/>
      <c r="CM83" s="126" t="s">
        <v>408</v>
      </c>
      <c r="CN83" s="110">
        <v>36364</v>
      </c>
      <c r="CO83" s="100">
        <v>1</v>
      </c>
      <c r="CP83" s="100">
        <f>(CN83-AP83)*12/365.25</f>
        <v>5.3880903490759753</v>
      </c>
      <c r="CQ83" s="100" t="s">
        <v>389</v>
      </c>
      <c r="CR83" s="126"/>
    </row>
    <row r="84" spans="1:96" s="113" customFormat="1" ht="38.25">
      <c r="A84" s="119" t="s">
        <v>9</v>
      </c>
      <c r="B84" s="119" t="s">
        <v>27</v>
      </c>
      <c r="C84" s="120">
        <v>44</v>
      </c>
      <c r="D84" s="96">
        <v>82</v>
      </c>
      <c r="E84" s="120">
        <v>9700</v>
      </c>
      <c r="F84" s="121">
        <v>11440</v>
      </c>
      <c r="G84" s="122">
        <v>2031038</v>
      </c>
      <c r="H84" s="123" t="s">
        <v>121</v>
      </c>
      <c r="I84" s="124">
        <v>36217</v>
      </c>
      <c r="J84" s="122">
        <f t="shared" si="58"/>
        <v>67.835728952772072</v>
      </c>
      <c r="K84" s="125">
        <v>1</v>
      </c>
      <c r="L84" s="123" t="s">
        <v>346</v>
      </c>
      <c r="M84" s="119" t="s">
        <v>140</v>
      </c>
      <c r="N84" s="120" t="s">
        <v>504</v>
      </c>
      <c r="O84" s="120">
        <v>0</v>
      </c>
      <c r="P84" s="120">
        <v>0</v>
      </c>
      <c r="Q84" s="120">
        <v>0</v>
      </c>
      <c r="R84" s="120">
        <v>1</v>
      </c>
      <c r="S84" s="120">
        <v>0</v>
      </c>
      <c r="T84" s="126" t="s">
        <v>494</v>
      </c>
      <c r="U84" s="103" t="s">
        <v>504</v>
      </c>
      <c r="V84" s="103">
        <v>0</v>
      </c>
      <c r="W84" s="103">
        <v>0</v>
      </c>
      <c r="X84" s="103">
        <v>0</v>
      </c>
      <c r="Y84" s="103">
        <v>0</v>
      </c>
      <c r="Z84" s="103">
        <v>1</v>
      </c>
      <c r="AA84" s="103">
        <v>0</v>
      </c>
      <c r="AB84" s="105">
        <v>35719</v>
      </c>
      <c r="AC84" s="105">
        <v>35915</v>
      </c>
      <c r="AD84" s="106">
        <f t="shared" si="59"/>
        <v>6.4394250513347018</v>
      </c>
      <c r="AE84" s="106">
        <v>1</v>
      </c>
      <c r="AF84" s="106">
        <v>0</v>
      </c>
      <c r="AG84" s="105" t="s">
        <v>391</v>
      </c>
      <c r="AH84" s="100">
        <v>0</v>
      </c>
      <c r="AI84" s="127" t="s">
        <v>327</v>
      </c>
      <c r="AJ84" s="105">
        <v>36111</v>
      </c>
      <c r="AK84" s="106">
        <f t="shared" si="60"/>
        <v>3.482546201232033</v>
      </c>
      <c r="AL84" s="106">
        <f t="shared" si="61"/>
        <v>6.4394250513347018</v>
      </c>
      <c r="AM84" s="106">
        <f t="shared" si="62"/>
        <v>16.361396303901437</v>
      </c>
      <c r="AN84" s="102">
        <v>5</v>
      </c>
      <c r="AO84" s="102">
        <v>0</v>
      </c>
      <c r="AP84" s="128">
        <v>36236</v>
      </c>
      <c r="AQ84" s="128">
        <v>36249</v>
      </c>
      <c r="AR84" s="129">
        <f t="shared" si="63"/>
        <v>1.8571428571428572</v>
      </c>
      <c r="AS84" s="109">
        <v>10</v>
      </c>
      <c r="AT84" s="109">
        <v>5</v>
      </c>
      <c r="AU84" s="109">
        <f t="shared" si="52"/>
        <v>50</v>
      </c>
      <c r="AV84" s="109">
        <v>1</v>
      </c>
      <c r="AW84" s="109">
        <v>0</v>
      </c>
      <c r="AX84" s="109">
        <v>0</v>
      </c>
      <c r="AY84" s="109">
        <v>0</v>
      </c>
      <c r="AZ84" s="109">
        <v>0</v>
      </c>
      <c r="BA84" s="109">
        <v>0</v>
      </c>
      <c r="BB84" s="109">
        <v>0</v>
      </c>
      <c r="BC84" s="109">
        <v>1</v>
      </c>
      <c r="BD84" s="125">
        <v>1</v>
      </c>
      <c r="BE84" s="131">
        <v>36690</v>
      </c>
      <c r="BF84" s="124"/>
      <c r="BG84" s="124">
        <f t="shared" si="70"/>
        <v>36690</v>
      </c>
      <c r="BH84" s="124"/>
      <c r="BI84" s="102" t="s">
        <v>82</v>
      </c>
      <c r="BJ84" s="100">
        <f t="shared" si="64"/>
        <v>15.540041067761805</v>
      </c>
      <c r="BK84" s="100">
        <f t="shared" si="65"/>
        <v>472.99999999999994</v>
      </c>
      <c r="BL84" s="100">
        <v>0</v>
      </c>
      <c r="BM84" s="110"/>
      <c r="BN84" s="100"/>
      <c r="BO84" s="100">
        <f>BJ84</f>
        <v>15.540041067761805</v>
      </c>
      <c r="BP84" s="100">
        <f t="shared" si="66"/>
        <v>472.99999999999994</v>
      </c>
      <c r="BQ84" s="100">
        <v>1</v>
      </c>
      <c r="BR84" s="110">
        <v>36334</v>
      </c>
      <c r="BS84" s="106">
        <f t="shared" si="71"/>
        <v>3.8439425051334704</v>
      </c>
      <c r="BT84" s="100">
        <f t="shared" si="67"/>
        <v>117</v>
      </c>
      <c r="BU84" s="100">
        <f>BQ84+BL84</f>
        <v>1</v>
      </c>
      <c r="BV84" s="100"/>
      <c r="BW84" s="100"/>
      <c r="BX84" s="110">
        <f t="shared" si="73"/>
        <v>36334</v>
      </c>
      <c r="BY84" s="100">
        <f t="shared" si="72"/>
        <v>3.8439425051334704</v>
      </c>
      <c r="BZ84" s="100">
        <f t="shared" si="77"/>
        <v>117</v>
      </c>
      <c r="CA84" s="100">
        <f t="shared" si="54"/>
        <v>1</v>
      </c>
      <c r="CB84" s="110">
        <f t="shared" si="74"/>
        <v>36334</v>
      </c>
      <c r="CC84" s="100">
        <f t="shared" si="75"/>
        <v>3.8439425051334704</v>
      </c>
      <c r="CD84" s="100">
        <f t="shared" si="76"/>
        <v>117</v>
      </c>
      <c r="CE84" s="132" t="s">
        <v>88</v>
      </c>
      <c r="CF84" s="126" t="s">
        <v>88</v>
      </c>
      <c r="CG84" s="100">
        <v>2</v>
      </c>
      <c r="CH84" s="115">
        <f>5.77+1.23+3.31+1.25+0.77</f>
        <v>12.33</v>
      </c>
      <c r="CI84" s="126" t="s">
        <v>350</v>
      </c>
      <c r="CJ84" s="126" t="s">
        <v>351</v>
      </c>
      <c r="CK84" s="126" t="s">
        <v>38</v>
      </c>
      <c r="CL84" s="126"/>
      <c r="CM84" s="126" t="s">
        <v>408</v>
      </c>
      <c r="CN84" s="110"/>
      <c r="CO84" s="100">
        <v>0</v>
      </c>
      <c r="CP84" s="110"/>
      <c r="CQ84" s="110" t="s">
        <v>408</v>
      </c>
      <c r="CR84" s="126"/>
    </row>
    <row r="85" spans="1:96" s="113" customFormat="1" ht="25.5">
      <c r="A85" s="119" t="s">
        <v>28</v>
      </c>
      <c r="B85" s="119" t="s">
        <v>334</v>
      </c>
      <c r="C85" s="120">
        <v>45</v>
      </c>
      <c r="D85" s="96">
        <v>83</v>
      </c>
      <c r="E85" s="120">
        <v>9700</v>
      </c>
      <c r="F85" s="121">
        <v>11677</v>
      </c>
      <c r="G85" s="122">
        <v>626356</v>
      </c>
      <c r="H85" s="123" t="s">
        <v>121</v>
      </c>
      <c r="I85" s="124">
        <v>36223</v>
      </c>
      <c r="J85" s="122">
        <f t="shared" si="58"/>
        <v>67.203285420944553</v>
      </c>
      <c r="K85" s="125">
        <v>1</v>
      </c>
      <c r="L85" s="123" t="s">
        <v>49</v>
      </c>
      <c r="M85" s="119" t="s">
        <v>122</v>
      </c>
      <c r="N85" s="120" t="s">
        <v>403</v>
      </c>
      <c r="O85" s="120">
        <v>0</v>
      </c>
      <c r="P85" s="120">
        <v>0</v>
      </c>
      <c r="Q85" s="120">
        <v>1</v>
      </c>
      <c r="R85" s="120">
        <v>0</v>
      </c>
      <c r="S85" s="120">
        <v>0</v>
      </c>
      <c r="T85" s="126" t="s">
        <v>39</v>
      </c>
      <c r="U85" s="103" t="s">
        <v>402</v>
      </c>
      <c r="V85" s="103">
        <v>1</v>
      </c>
      <c r="W85" s="103">
        <v>0</v>
      </c>
      <c r="X85" s="103">
        <v>0</v>
      </c>
      <c r="Y85" s="103">
        <v>0</v>
      </c>
      <c r="Z85" s="103">
        <v>0</v>
      </c>
      <c r="AA85" s="103">
        <v>0</v>
      </c>
      <c r="AB85" s="105">
        <v>32628</v>
      </c>
      <c r="AC85" s="105">
        <v>35338</v>
      </c>
      <c r="AD85" s="106">
        <f t="shared" si="59"/>
        <v>89.034907597535934</v>
      </c>
      <c r="AE85" s="106">
        <v>0</v>
      </c>
      <c r="AF85" s="106">
        <v>1</v>
      </c>
      <c r="AG85" s="105" t="s">
        <v>387</v>
      </c>
      <c r="AH85" s="100">
        <v>1</v>
      </c>
      <c r="AI85" s="127" t="s">
        <v>327</v>
      </c>
      <c r="AJ85" s="105">
        <v>36074</v>
      </c>
      <c r="AK85" s="106">
        <f t="shared" si="60"/>
        <v>4.8952772073921968</v>
      </c>
      <c r="AL85" s="106">
        <f t="shared" si="61"/>
        <v>24.180698151950715</v>
      </c>
      <c r="AM85" s="106">
        <f t="shared" si="62"/>
        <v>118.11088295687885</v>
      </c>
      <c r="AN85" s="102">
        <v>1</v>
      </c>
      <c r="AO85" s="102">
        <v>1</v>
      </c>
      <c r="AP85" s="128">
        <v>36235</v>
      </c>
      <c r="AQ85" s="128">
        <v>36263</v>
      </c>
      <c r="AR85" s="129">
        <f t="shared" si="63"/>
        <v>4</v>
      </c>
      <c r="AS85" s="109">
        <v>20</v>
      </c>
      <c r="AT85" s="109">
        <v>2.5</v>
      </c>
      <c r="AU85" s="109">
        <f t="shared" si="52"/>
        <v>50</v>
      </c>
      <c r="AV85" s="109">
        <v>1</v>
      </c>
      <c r="AW85" s="109">
        <v>0</v>
      </c>
      <c r="AX85" s="109">
        <v>0</v>
      </c>
      <c r="AY85" s="109">
        <v>0</v>
      </c>
      <c r="AZ85" s="109">
        <v>0</v>
      </c>
      <c r="BA85" s="109">
        <v>0</v>
      </c>
      <c r="BB85" s="109">
        <v>0</v>
      </c>
      <c r="BC85" s="109">
        <v>1</v>
      </c>
      <c r="BD85" s="125">
        <v>1</v>
      </c>
      <c r="BE85" s="131">
        <v>36781</v>
      </c>
      <c r="BF85" s="124"/>
      <c r="BG85" s="124">
        <f t="shared" si="70"/>
        <v>36781</v>
      </c>
      <c r="BH85" s="124"/>
      <c r="BI85" s="102" t="s">
        <v>82</v>
      </c>
      <c r="BJ85" s="100">
        <f t="shared" si="64"/>
        <v>18.33264887063655</v>
      </c>
      <c r="BK85" s="100">
        <f t="shared" si="65"/>
        <v>558</v>
      </c>
      <c r="BL85" s="100">
        <v>1</v>
      </c>
      <c r="BM85" s="110">
        <v>36659</v>
      </c>
      <c r="BN85" s="100">
        <f>(BM85-AQ85)*12/365.25</f>
        <v>13.010266940451745</v>
      </c>
      <c r="BO85" s="100">
        <f>(BM85-I85)*12/365.25</f>
        <v>14.324435318275153</v>
      </c>
      <c r="BP85" s="100">
        <f t="shared" si="66"/>
        <v>436</v>
      </c>
      <c r="BQ85" s="100">
        <v>1</v>
      </c>
      <c r="BR85" s="110">
        <v>36585</v>
      </c>
      <c r="BS85" s="106">
        <f t="shared" si="71"/>
        <v>11.893223819301848</v>
      </c>
      <c r="BT85" s="100">
        <f t="shared" si="67"/>
        <v>362</v>
      </c>
      <c r="BU85" s="100">
        <f>BQ85+BL85</f>
        <v>2</v>
      </c>
      <c r="BV85" s="100"/>
      <c r="BW85" s="100"/>
      <c r="BX85" s="110">
        <f t="shared" si="73"/>
        <v>36585</v>
      </c>
      <c r="BY85" s="100">
        <f t="shared" si="72"/>
        <v>11.893223819301848</v>
      </c>
      <c r="BZ85" s="100">
        <f t="shared" si="77"/>
        <v>362</v>
      </c>
      <c r="CA85" s="100">
        <f t="shared" si="54"/>
        <v>2</v>
      </c>
      <c r="CB85" s="110">
        <f t="shared" si="74"/>
        <v>36585</v>
      </c>
      <c r="CC85" s="100">
        <f t="shared" si="75"/>
        <v>11.893223819301848</v>
      </c>
      <c r="CD85" s="100">
        <f t="shared" si="76"/>
        <v>362</v>
      </c>
      <c r="CE85" s="132" t="s">
        <v>38</v>
      </c>
      <c r="CF85" s="126" t="s">
        <v>38</v>
      </c>
      <c r="CG85" s="100">
        <v>4</v>
      </c>
      <c r="CH85" s="115">
        <v>57.29</v>
      </c>
      <c r="CI85" s="126" t="s">
        <v>336</v>
      </c>
      <c r="CJ85" s="126" t="s">
        <v>158</v>
      </c>
      <c r="CK85" s="126" t="s">
        <v>363</v>
      </c>
      <c r="CL85" s="126"/>
      <c r="CM85" s="126" t="s">
        <v>408</v>
      </c>
      <c r="CN85" s="110">
        <v>36448</v>
      </c>
      <c r="CO85" s="100">
        <v>1</v>
      </c>
      <c r="CP85" s="100">
        <f>(CN85-AP85)*12/365.25</f>
        <v>6.9979466119096507</v>
      </c>
      <c r="CQ85" s="100" t="s">
        <v>389</v>
      </c>
      <c r="CR85" s="126"/>
    </row>
    <row r="86" spans="1:96" s="113" customFormat="1" ht="38.25">
      <c r="A86" s="119" t="s">
        <v>156</v>
      </c>
      <c r="B86" s="119" t="s">
        <v>30</v>
      </c>
      <c r="C86" s="120">
        <v>46</v>
      </c>
      <c r="D86" s="96">
        <v>84</v>
      </c>
      <c r="E86" s="120">
        <v>9700</v>
      </c>
      <c r="F86" s="121">
        <v>17656</v>
      </c>
      <c r="G86" s="122">
        <v>2131694</v>
      </c>
      <c r="H86" s="123" t="s">
        <v>121</v>
      </c>
      <c r="I86" s="124">
        <v>36223</v>
      </c>
      <c r="J86" s="122">
        <f t="shared" si="58"/>
        <v>50.833675564681727</v>
      </c>
      <c r="K86" s="125">
        <v>1</v>
      </c>
      <c r="L86" s="123" t="s">
        <v>49</v>
      </c>
      <c r="M86" s="119" t="s">
        <v>144</v>
      </c>
      <c r="N86" s="120" t="s">
        <v>107</v>
      </c>
      <c r="O86" s="120">
        <v>1</v>
      </c>
      <c r="P86" s="120">
        <v>0</v>
      </c>
      <c r="Q86" s="120">
        <v>0</v>
      </c>
      <c r="R86" s="120">
        <v>0</v>
      </c>
      <c r="S86" s="120">
        <v>0</v>
      </c>
      <c r="T86" s="126" t="s">
        <v>155</v>
      </c>
      <c r="U86" s="103" t="s">
        <v>402</v>
      </c>
      <c r="V86" s="103">
        <v>1</v>
      </c>
      <c r="W86" s="103">
        <v>0</v>
      </c>
      <c r="X86" s="103">
        <v>0</v>
      </c>
      <c r="Y86" s="103">
        <v>0</v>
      </c>
      <c r="Z86" s="103">
        <v>0</v>
      </c>
      <c r="AA86" s="103">
        <v>0</v>
      </c>
      <c r="AB86" s="105">
        <v>34287</v>
      </c>
      <c r="AC86" s="105">
        <v>35475</v>
      </c>
      <c r="AD86" s="106">
        <f t="shared" si="59"/>
        <v>39.030800821355236</v>
      </c>
      <c r="AE86" s="106">
        <v>0</v>
      </c>
      <c r="AF86" s="106">
        <v>0</v>
      </c>
      <c r="AG86" s="105" t="s">
        <v>388</v>
      </c>
      <c r="AH86" s="100">
        <v>0</v>
      </c>
      <c r="AI86" s="127" t="s">
        <v>327</v>
      </c>
      <c r="AJ86" s="105">
        <v>35475</v>
      </c>
      <c r="AK86" s="106">
        <f t="shared" si="60"/>
        <v>24.57494866529774</v>
      </c>
      <c r="AL86" s="106">
        <f t="shared" si="61"/>
        <v>0</v>
      </c>
      <c r="AM86" s="106">
        <f t="shared" si="62"/>
        <v>63.605749486652975</v>
      </c>
      <c r="AN86" s="102">
        <v>5</v>
      </c>
      <c r="AO86" s="102">
        <v>0</v>
      </c>
      <c r="AP86" s="128">
        <v>36271</v>
      </c>
      <c r="AQ86" s="128">
        <v>36284</v>
      </c>
      <c r="AR86" s="129">
        <f t="shared" si="63"/>
        <v>1.8571428571428572</v>
      </c>
      <c r="AS86" s="109">
        <v>10</v>
      </c>
      <c r="AT86" s="109">
        <v>5</v>
      </c>
      <c r="AU86" s="109">
        <f t="shared" si="52"/>
        <v>50</v>
      </c>
      <c r="AV86" s="109">
        <v>1</v>
      </c>
      <c r="AW86" s="109">
        <v>1</v>
      </c>
      <c r="AX86" s="109">
        <v>0</v>
      </c>
      <c r="AY86" s="109">
        <v>0</v>
      </c>
      <c r="AZ86" s="109">
        <v>0</v>
      </c>
      <c r="BA86" s="109">
        <v>0</v>
      </c>
      <c r="BB86" s="109">
        <v>0</v>
      </c>
      <c r="BC86" s="109">
        <v>2</v>
      </c>
      <c r="BD86" s="125">
        <v>1</v>
      </c>
      <c r="BE86" s="131">
        <v>37238</v>
      </c>
      <c r="BF86" s="124"/>
      <c r="BG86" s="124">
        <f t="shared" si="70"/>
        <v>37238</v>
      </c>
      <c r="BH86" s="124"/>
      <c r="BI86" s="102" t="s">
        <v>82</v>
      </c>
      <c r="BJ86" s="100">
        <f t="shared" si="64"/>
        <v>33.347022587268995</v>
      </c>
      <c r="BK86" s="100">
        <f t="shared" si="65"/>
        <v>1015</v>
      </c>
      <c r="BL86" s="100">
        <v>0</v>
      </c>
      <c r="BM86" s="110"/>
      <c r="BN86" s="100"/>
      <c r="BO86" s="100">
        <f>BJ86</f>
        <v>33.347022587268995</v>
      </c>
      <c r="BP86" s="100">
        <f t="shared" si="66"/>
        <v>1015</v>
      </c>
      <c r="BQ86" s="100">
        <v>1</v>
      </c>
      <c r="BR86" s="110">
        <v>37225</v>
      </c>
      <c r="BS86" s="106">
        <f t="shared" si="71"/>
        <v>32.919917864476389</v>
      </c>
      <c r="BT86" s="100">
        <f t="shared" si="67"/>
        <v>1002.0000000000001</v>
      </c>
      <c r="BU86" s="100">
        <f>BQ86+BL86</f>
        <v>1</v>
      </c>
      <c r="BV86" s="100"/>
      <c r="BW86" s="100"/>
      <c r="BX86" s="110">
        <f t="shared" si="73"/>
        <v>37225</v>
      </c>
      <c r="BY86" s="100">
        <f t="shared" si="72"/>
        <v>32.919917864476389</v>
      </c>
      <c r="BZ86" s="100">
        <f t="shared" si="77"/>
        <v>1002.0000000000001</v>
      </c>
      <c r="CA86" s="100">
        <f t="shared" si="54"/>
        <v>1</v>
      </c>
      <c r="CB86" s="110">
        <f t="shared" si="74"/>
        <v>37225</v>
      </c>
      <c r="CC86" s="100">
        <f t="shared" si="75"/>
        <v>32.919917864476389</v>
      </c>
      <c r="CD86" s="100">
        <f t="shared" si="76"/>
        <v>1002.0000000000001</v>
      </c>
      <c r="CE86" s="132" t="s">
        <v>22</v>
      </c>
      <c r="CF86" s="126" t="s">
        <v>301</v>
      </c>
      <c r="CG86" s="100">
        <v>2</v>
      </c>
      <c r="CH86" s="115">
        <f>10.18+1.14+1.34+2.31</f>
        <v>14.97</v>
      </c>
      <c r="CI86" s="126" t="s">
        <v>21</v>
      </c>
      <c r="CJ86" s="126" t="s">
        <v>20</v>
      </c>
      <c r="CK86" s="126" t="s">
        <v>363</v>
      </c>
      <c r="CL86" s="126"/>
      <c r="CM86" s="126" t="s">
        <v>408</v>
      </c>
      <c r="CN86" s="110">
        <v>36312</v>
      </c>
      <c r="CO86" s="100">
        <v>1</v>
      </c>
      <c r="CP86" s="100">
        <f>(CN86-AP86)*12/365.25</f>
        <v>1.3470225872689938</v>
      </c>
      <c r="CQ86" s="100" t="s">
        <v>389</v>
      </c>
      <c r="CR86" s="126" t="s">
        <v>401</v>
      </c>
    </row>
    <row r="87" spans="1:96" ht="25.5">
      <c r="A87" s="119" t="s">
        <v>176</v>
      </c>
      <c r="B87" s="119" t="s">
        <v>8</v>
      </c>
      <c r="C87" s="120">
        <v>47</v>
      </c>
      <c r="D87" s="96">
        <v>85</v>
      </c>
      <c r="E87" s="120">
        <v>9700</v>
      </c>
      <c r="F87" s="121">
        <v>17988</v>
      </c>
      <c r="G87" s="122">
        <v>2136447</v>
      </c>
      <c r="H87" s="123" t="s">
        <v>121</v>
      </c>
      <c r="I87" s="124">
        <v>36284</v>
      </c>
      <c r="J87" s="122">
        <f t="shared" si="58"/>
        <v>50.091718001368925</v>
      </c>
      <c r="K87" s="125">
        <v>1</v>
      </c>
      <c r="L87" s="123" t="s">
        <v>34</v>
      </c>
      <c r="M87" s="119" t="s">
        <v>309</v>
      </c>
      <c r="N87" s="120" t="s">
        <v>511</v>
      </c>
      <c r="O87" s="120">
        <v>0</v>
      </c>
      <c r="P87" s="120">
        <v>0</v>
      </c>
      <c r="Q87" s="120">
        <v>0</v>
      </c>
      <c r="R87" s="120">
        <v>0</v>
      </c>
      <c r="S87" s="120">
        <v>1</v>
      </c>
      <c r="T87" s="126" t="s">
        <v>155</v>
      </c>
      <c r="U87" s="103" t="s">
        <v>402</v>
      </c>
      <c r="V87" s="103">
        <v>1</v>
      </c>
      <c r="W87" s="103">
        <v>0</v>
      </c>
      <c r="X87" s="103">
        <v>0</v>
      </c>
      <c r="Y87" s="103">
        <v>0</v>
      </c>
      <c r="Z87" s="103">
        <v>0</v>
      </c>
      <c r="AA87" s="103">
        <v>0</v>
      </c>
      <c r="AB87" s="105">
        <v>35717</v>
      </c>
      <c r="AC87" s="105">
        <v>36225</v>
      </c>
      <c r="AD87" s="106">
        <f t="shared" si="59"/>
        <v>16.689938398357288</v>
      </c>
      <c r="AE87" s="106">
        <v>0</v>
      </c>
      <c r="AF87" s="106">
        <v>0</v>
      </c>
      <c r="AG87" s="105" t="s">
        <v>388</v>
      </c>
      <c r="AH87" s="100">
        <v>0</v>
      </c>
      <c r="AI87" s="127" t="s">
        <v>315</v>
      </c>
      <c r="AJ87" s="105">
        <v>36225</v>
      </c>
      <c r="AK87" s="106">
        <f t="shared" si="60"/>
        <v>1.9383983572895278</v>
      </c>
      <c r="AL87" s="106">
        <f t="shared" si="61"/>
        <v>0</v>
      </c>
      <c r="AM87" s="106">
        <f t="shared" si="62"/>
        <v>18.628336755646817</v>
      </c>
      <c r="AN87" s="102">
        <v>2</v>
      </c>
      <c r="AO87" s="102">
        <v>0</v>
      </c>
      <c r="AP87" s="128">
        <v>36286</v>
      </c>
      <c r="AQ87" s="128">
        <v>36300</v>
      </c>
      <c r="AR87" s="129">
        <f t="shared" si="63"/>
        <v>2</v>
      </c>
      <c r="AS87" s="109">
        <v>11</v>
      </c>
      <c r="AT87" s="109">
        <v>5</v>
      </c>
      <c r="AU87" s="109">
        <f t="shared" si="52"/>
        <v>55</v>
      </c>
      <c r="AV87" s="109">
        <v>0</v>
      </c>
      <c r="AW87" s="109">
        <v>0</v>
      </c>
      <c r="AX87" s="109">
        <v>1</v>
      </c>
      <c r="AY87" s="109">
        <v>0</v>
      </c>
      <c r="AZ87" s="109">
        <v>0</v>
      </c>
      <c r="BA87" s="109">
        <v>0</v>
      </c>
      <c r="BB87" s="109">
        <v>0</v>
      </c>
      <c r="BC87" s="109">
        <v>1</v>
      </c>
      <c r="BD87" s="125">
        <v>1</v>
      </c>
      <c r="BE87" s="131">
        <v>36876</v>
      </c>
      <c r="BF87" s="124"/>
      <c r="BG87" s="124">
        <f t="shared" si="70"/>
        <v>36876</v>
      </c>
      <c r="BH87" s="124"/>
      <c r="BI87" s="102" t="s">
        <v>105</v>
      </c>
      <c r="BJ87" s="100">
        <f t="shared" si="64"/>
        <v>19.449691991786448</v>
      </c>
      <c r="BK87" s="100">
        <f t="shared" si="65"/>
        <v>592</v>
      </c>
      <c r="BL87" s="100">
        <v>1</v>
      </c>
      <c r="BM87" s="110">
        <v>36497</v>
      </c>
      <c r="BN87" s="100">
        <f>(BM87-AQ87)*12/365.25</f>
        <v>6.4722792607802875</v>
      </c>
      <c r="BO87" s="100">
        <f>(BM87-I87)*12/365.25</f>
        <v>6.9979466119096507</v>
      </c>
      <c r="BP87" s="100">
        <f t="shared" si="66"/>
        <v>213</v>
      </c>
      <c r="BQ87" s="100">
        <v>1</v>
      </c>
      <c r="BR87" s="110">
        <v>36497</v>
      </c>
      <c r="BS87" s="106">
        <f t="shared" si="71"/>
        <v>6.9979466119096507</v>
      </c>
      <c r="BT87" s="100">
        <f t="shared" si="67"/>
        <v>213</v>
      </c>
      <c r="BU87" s="100">
        <v>1</v>
      </c>
      <c r="BV87" s="100"/>
      <c r="BW87" s="100"/>
      <c r="BX87" s="110">
        <f t="shared" si="73"/>
        <v>36497</v>
      </c>
      <c r="BY87" s="100">
        <f t="shared" si="72"/>
        <v>6.9979466119096507</v>
      </c>
      <c r="BZ87" s="100">
        <f t="shared" si="77"/>
        <v>213</v>
      </c>
      <c r="CA87" s="100">
        <f t="shared" si="54"/>
        <v>1</v>
      </c>
      <c r="CB87" s="110">
        <f t="shared" si="74"/>
        <v>36497</v>
      </c>
      <c r="CC87" s="100">
        <f t="shared" si="75"/>
        <v>6.9979466119096507</v>
      </c>
      <c r="CD87" s="100">
        <f t="shared" si="76"/>
        <v>213</v>
      </c>
      <c r="CE87" s="132" t="s">
        <v>22</v>
      </c>
      <c r="CF87" s="126" t="s">
        <v>166</v>
      </c>
      <c r="CG87" s="100">
        <v>3</v>
      </c>
      <c r="CH87" s="115">
        <f>17.75+5.59</f>
        <v>23.34</v>
      </c>
      <c r="CI87" s="126" t="s">
        <v>38</v>
      </c>
      <c r="CJ87" s="126" t="s">
        <v>38</v>
      </c>
      <c r="CK87" s="126" t="s">
        <v>38</v>
      </c>
      <c r="CL87" s="126"/>
      <c r="CM87" s="126" t="s">
        <v>408</v>
      </c>
      <c r="CN87" s="110"/>
      <c r="CO87" s="100">
        <v>0</v>
      </c>
      <c r="CP87" s="110"/>
      <c r="CQ87" s="110" t="s">
        <v>408</v>
      </c>
      <c r="CR87" s="126"/>
    </row>
    <row r="88" spans="1:96" s="113" customFormat="1" ht="38.25">
      <c r="A88" s="119" t="s">
        <v>278</v>
      </c>
      <c r="B88" s="119" t="s">
        <v>46</v>
      </c>
      <c r="C88" s="120">
        <v>51</v>
      </c>
      <c r="D88" s="96">
        <v>86</v>
      </c>
      <c r="E88" s="120">
        <v>9700</v>
      </c>
      <c r="F88" s="121">
        <v>19853</v>
      </c>
      <c r="G88" s="122">
        <v>1883170</v>
      </c>
      <c r="H88" s="123" t="s">
        <v>121</v>
      </c>
      <c r="I88" s="124">
        <v>36323</v>
      </c>
      <c r="J88" s="122">
        <f t="shared" si="58"/>
        <v>45.092402464065707</v>
      </c>
      <c r="K88" s="125">
        <v>1</v>
      </c>
      <c r="L88" s="123" t="s">
        <v>346</v>
      </c>
      <c r="M88" s="119" t="s">
        <v>31</v>
      </c>
      <c r="N88" s="120" t="s">
        <v>504</v>
      </c>
      <c r="O88" s="120">
        <v>0</v>
      </c>
      <c r="P88" s="120">
        <v>0</v>
      </c>
      <c r="Q88" s="120">
        <v>0</v>
      </c>
      <c r="R88" s="120">
        <v>1</v>
      </c>
      <c r="S88" s="120">
        <v>0</v>
      </c>
      <c r="T88" s="126" t="s">
        <v>179</v>
      </c>
      <c r="U88" s="103" t="s">
        <v>504</v>
      </c>
      <c r="V88" s="103">
        <v>0</v>
      </c>
      <c r="W88" s="103">
        <v>0</v>
      </c>
      <c r="X88" s="103">
        <v>0</v>
      </c>
      <c r="Y88" s="103">
        <v>0</v>
      </c>
      <c r="Z88" s="103">
        <v>1</v>
      </c>
      <c r="AA88" s="103">
        <v>0</v>
      </c>
      <c r="AB88" s="105">
        <v>35399</v>
      </c>
      <c r="AC88" s="105">
        <v>36061</v>
      </c>
      <c r="AD88" s="106">
        <f t="shared" si="59"/>
        <v>21.749486652977414</v>
      </c>
      <c r="AE88" s="106">
        <v>1</v>
      </c>
      <c r="AF88" s="106">
        <v>1</v>
      </c>
      <c r="AG88" s="105" t="s">
        <v>390</v>
      </c>
      <c r="AH88" s="100">
        <v>1</v>
      </c>
      <c r="AI88" s="127" t="s">
        <v>327</v>
      </c>
      <c r="AJ88" s="105">
        <v>36061</v>
      </c>
      <c r="AK88" s="106">
        <f t="shared" si="60"/>
        <v>8.6078028747433262</v>
      </c>
      <c r="AL88" s="106">
        <f t="shared" si="61"/>
        <v>0</v>
      </c>
      <c r="AM88" s="106">
        <f t="shared" si="62"/>
        <v>30.357289527720738</v>
      </c>
      <c r="AN88" s="102">
        <v>4</v>
      </c>
      <c r="AO88" s="102">
        <v>0</v>
      </c>
      <c r="AP88" s="128">
        <v>36396</v>
      </c>
      <c r="AQ88" s="128">
        <v>36411</v>
      </c>
      <c r="AR88" s="129">
        <f t="shared" si="63"/>
        <v>2.1428571428571428</v>
      </c>
      <c r="AS88" s="109">
        <v>11</v>
      </c>
      <c r="AT88" s="109">
        <v>5</v>
      </c>
      <c r="AU88" s="109">
        <f t="shared" ref="AU88:AU119" si="78">AT88*AS88</f>
        <v>55</v>
      </c>
      <c r="AV88" s="109">
        <v>1</v>
      </c>
      <c r="AW88" s="109">
        <v>0</v>
      </c>
      <c r="AX88" s="109">
        <v>0</v>
      </c>
      <c r="AY88" s="109">
        <v>0</v>
      </c>
      <c r="AZ88" s="109">
        <v>0</v>
      </c>
      <c r="BA88" s="109">
        <v>0</v>
      </c>
      <c r="BB88" s="109">
        <v>0</v>
      </c>
      <c r="BC88" s="109">
        <v>1</v>
      </c>
      <c r="BD88" s="125">
        <v>1</v>
      </c>
      <c r="BE88" s="131">
        <v>36789</v>
      </c>
      <c r="BF88" s="124"/>
      <c r="BG88" s="124">
        <f t="shared" si="70"/>
        <v>36789</v>
      </c>
      <c r="BH88" s="124"/>
      <c r="BI88" s="102" t="s">
        <v>82</v>
      </c>
      <c r="BJ88" s="100">
        <f t="shared" si="64"/>
        <v>15.31006160164271</v>
      </c>
      <c r="BK88" s="100">
        <f t="shared" si="65"/>
        <v>466</v>
      </c>
      <c r="BL88" s="100">
        <v>0</v>
      </c>
      <c r="BM88" s="110"/>
      <c r="BN88" s="100"/>
      <c r="BO88" s="100">
        <f>BJ88</f>
        <v>15.31006160164271</v>
      </c>
      <c r="BP88" s="100">
        <f t="shared" si="66"/>
        <v>466</v>
      </c>
      <c r="BQ88" s="100">
        <v>1</v>
      </c>
      <c r="BR88" s="110">
        <v>36510</v>
      </c>
      <c r="BS88" s="106">
        <f t="shared" si="71"/>
        <v>6.1437371663244349</v>
      </c>
      <c r="BT88" s="100">
        <f t="shared" si="67"/>
        <v>187</v>
      </c>
      <c r="BU88" s="100">
        <f>BQ88+BL88</f>
        <v>1</v>
      </c>
      <c r="BV88" s="100"/>
      <c r="BW88" s="100"/>
      <c r="BX88" s="110">
        <f t="shared" si="73"/>
        <v>36510</v>
      </c>
      <c r="BY88" s="100">
        <f t="shared" si="72"/>
        <v>6.1437371663244349</v>
      </c>
      <c r="BZ88" s="100">
        <f t="shared" si="77"/>
        <v>187</v>
      </c>
      <c r="CA88" s="100">
        <f t="shared" si="54"/>
        <v>1</v>
      </c>
      <c r="CB88" s="110">
        <f t="shared" si="74"/>
        <v>36510</v>
      </c>
      <c r="CC88" s="100">
        <f t="shared" si="75"/>
        <v>6.1437371663244349</v>
      </c>
      <c r="CD88" s="100">
        <f t="shared" si="76"/>
        <v>187</v>
      </c>
      <c r="CE88" s="132" t="s">
        <v>22</v>
      </c>
      <c r="CF88" s="126" t="s">
        <v>145</v>
      </c>
      <c r="CG88" s="100">
        <v>2</v>
      </c>
      <c r="CH88" s="115">
        <f>3.23+6.14+0.27+0.38</f>
        <v>10.02</v>
      </c>
      <c r="CI88" s="126" t="s">
        <v>38</v>
      </c>
      <c r="CJ88" s="126" t="s">
        <v>38</v>
      </c>
      <c r="CK88" s="126" t="s">
        <v>38</v>
      </c>
      <c r="CL88" s="126"/>
      <c r="CM88" s="126" t="s">
        <v>408</v>
      </c>
      <c r="CN88" s="110"/>
      <c r="CO88" s="100">
        <v>0</v>
      </c>
      <c r="CP88" s="110"/>
      <c r="CQ88" s="110" t="s">
        <v>408</v>
      </c>
      <c r="CR88" s="126"/>
    </row>
    <row r="89" spans="1:96" s="113" customFormat="1" ht="25.5">
      <c r="A89" s="119" t="s">
        <v>47</v>
      </c>
      <c r="B89" s="119" t="s">
        <v>136</v>
      </c>
      <c r="C89" s="120">
        <v>52</v>
      </c>
      <c r="D89" s="96">
        <v>87</v>
      </c>
      <c r="E89" s="120">
        <v>9700</v>
      </c>
      <c r="F89" s="121">
        <v>10604</v>
      </c>
      <c r="G89" s="122">
        <v>338382</v>
      </c>
      <c r="H89" s="123" t="s">
        <v>121</v>
      </c>
      <c r="I89" s="124">
        <v>36354</v>
      </c>
      <c r="J89" s="122">
        <f t="shared" si="58"/>
        <v>70.499657768651602</v>
      </c>
      <c r="K89" s="125">
        <v>0</v>
      </c>
      <c r="L89" s="123" t="s">
        <v>68</v>
      </c>
      <c r="M89" s="119" t="s">
        <v>264</v>
      </c>
      <c r="N89" s="120" t="s">
        <v>510</v>
      </c>
      <c r="O89" s="120">
        <v>0</v>
      </c>
      <c r="P89" s="120">
        <v>1</v>
      </c>
      <c r="Q89" s="120">
        <v>0</v>
      </c>
      <c r="R89" s="120">
        <v>0</v>
      </c>
      <c r="S89" s="120">
        <v>0</v>
      </c>
      <c r="T89" s="126" t="s">
        <v>35</v>
      </c>
      <c r="U89" s="103" t="s">
        <v>507</v>
      </c>
      <c r="V89" s="103">
        <v>0</v>
      </c>
      <c r="W89" s="103">
        <v>1</v>
      </c>
      <c r="X89" s="103">
        <v>0</v>
      </c>
      <c r="Y89" s="103">
        <v>0</v>
      </c>
      <c r="Z89" s="103">
        <v>0</v>
      </c>
      <c r="AA89" s="103">
        <v>0</v>
      </c>
      <c r="AB89" s="105">
        <v>35946</v>
      </c>
      <c r="AC89" s="105">
        <v>36325</v>
      </c>
      <c r="AD89" s="106">
        <f t="shared" si="59"/>
        <v>12.451745379876797</v>
      </c>
      <c r="AE89" s="106">
        <v>1</v>
      </c>
      <c r="AF89" s="106">
        <v>0</v>
      </c>
      <c r="AG89" s="105" t="s">
        <v>388</v>
      </c>
      <c r="AH89" s="100">
        <v>0</v>
      </c>
      <c r="AI89" s="127" t="s">
        <v>327</v>
      </c>
      <c r="AJ89" s="105">
        <v>36325</v>
      </c>
      <c r="AK89" s="106">
        <f t="shared" si="60"/>
        <v>0.95277207392197127</v>
      </c>
      <c r="AL89" s="106">
        <f t="shared" si="61"/>
        <v>0</v>
      </c>
      <c r="AM89" s="106">
        <f t="shared" si="62"/>
        <v>13.404517453798768</v>
      </c>
      <c r="AN89" s="102">
        <v>3</v>
      </c>
      <c r="AO89" s="102">
        <v>0</v>
      </c>
      <c r="AP89" s="128">
        <v>36396</v>
      </c>
      <c r="AQ89" s="128">
        <v>36414</v>
      </c>
      <c r="AR89" s="129">
        <f t="shared" si="63"/>
        <v>2.5714285714285716</v>
      </c>
      <c r="AS89" s="109">
        <v>13</v>
      </c>
      <c r="AT89" s="109">
        <v>4</v>
      </c>
      <c r="AU89" s="109">
        <f t="shared" si="78"/>
        <v>52</v>
      </c>
      <c r="AV89" s="109">
        <v>1</v>
      </c>
      <c r="AW89" s="109">
        <v>1</v>
      </c>
      <c r="AX89" s="109">
        <v>0</v>
      </c>
      <c r="AY89" s="109">
        <v>0</v>
      </c>
      <c r="AZ89" s="109">
        <v>0</v>
      </c>
      <c r="BA89" s="109">
        <v>0</v>
      </c>
      <c r="BB89" s="109">
        <v>0</v>
      </c>
      <c r="BC89" s="109">
        <v>2</v>
      </c>
      <c r="BD89" s="125">
        <v>1</v>
      </c>
      <c r="BE89" s="131">
        <v>36587</v>
      </c>
      <c r="BF89" s="124"/>
      <c r="BG89" s="124">
        <f t="shared" si="70"/>
        <v>36587</v>
      </c>
      <c r="BH89" s="124"/>
      <c r="BI89" s="102" t="s">
        <v>82</v>
      </c>
      <c r="BJ89" s="100">
        <f t="shared" si="64"/>
        <v>7.655030800821355</v>
      </c>
      <c r="BK89" s="100">
        <f t="shared" si="65"/>
        <v>233</v>
      </c>
      <c r="BL89" s="100">
        <v>0</v>
      </c>
      <c r="BM89" s="110"/>
      <c r="BN89" s="100"/>
      <c r="BO89" s="100">
        <f>BJ89</f>
        <v>7.655030800821355</v>
      </c>
      <c r="BP89" s="100">
        <f t="shared" si="66"/>
        <v>233</v>
      </c>
      <c r="BQ89" s="100">
        <v>1</v>
      </c>
      <c r="BR89" s="110">
        <v>36502</v>
      </c>
      <c r="BS89" s="106">
        <f t="shared" si="71"/>
        <v>4.862422997946612</v>
      </c>
      <c r="BT89" s="100">
        <f t="shared" si="67"/>
        <v>148</v>
      </c>
      <c r="BU89" s="100">
        <f>BQ89+BL89</f>
        <v>1</v>
      </c>
      <c r="BV89" s="100"/>
      <c r="BW89" s="100"/>
      <c r="BX89" s="110">
        <f t="shared" si="73"/>
        <v>36502</v>
      </c>
      <c r="BY89" s="100">
        <f t="shared" si="72"/>
        <v>4.862422997946612</v>
      </c>
      <c r="BZ89" s="100">
        <f t="shared" si="77"/>
        <v>148</v>
      </c>
      <c r="CA89" s="100">
        <f t="shared" si="54"/>
        <v>1</v>
      </c>
      <c r="CB89" s="110">
        <f t="shared" si="74"/>
        <v>36502</v>
      </c>
      <c r="CC89" s="100">
        <f t="shared" si="75"/>
        <v>4.862422997946612</v>
      </c>
      <c r="CD89" s="100">
        <f t="shared" si="76"/>
        <v>148</v>
      </c>
      <c r="CE89" s="132" t="s">
        <v>22</v>
      </c>
      <c r="CF89" s="126" t="s">
        <v>159</v>
      </c>
      <c r="CG89" s="100">
        <v>5</v>
      </c>
      <c r="CH89" s="115">
        <f>101.76+21.38+1.46</f>
        <v>124.6</v>
      </c>
      <c r="CI89" s="126" t="s">
        <v>160</v>
      </c>
      <c r="CJ89" s="126" t="s">
        <v>38</v>
      </c>
      <c r="CK89" s="126" t="s">
        <v>38</v>
      </c>
      <c r="CL89" s="126"/>
      <c r="CM89" s="126" t="s">
        <v>408</v>
      </c>
      <c r="CN89" s="110"/>
      <c r="CO89" s="100">
        <v>0</v>
      </c>
      <c r="CP89" s="110"/>
      <c r="CQ89" s="110" t="s">
        <v>408</v>
      </c>
      <c r="CR89" s="126"/>
    </row>
    <row r="90" spans="1:96" s="113" customFormat="1" ht="25.5">
      <c r="A90" s="119" t="s">
        <v>205</v>
      </c>
      <c r="B90" s="119" t="s">
        <v>272</v>
      </c>
      <c r="C90" s="120">
        <v>53</v>
      </c>
      <c r="D90" s="96">
        <v>88</v>
      </c>
      <c r="E90" s="120">
        <v>9700</v>
      </c>
      <c r="F90" s="121">
        <v>15755</v>
      </c>
      <c r="G90" s="122">
        <v>870598</v>
      </c>
      <c r="H90" s="123" t="s">
        <v>121</v>
      </c>
      <c r="I90" s="124">
        <v>36357</v>
      </c>
      <c r="J90" s="122">
        <f t="shared" si="58"/>
        <v>56.40520191649555</v>
      </c>
      <c r="K90" s="125">
        <v>0</v>
      </c>
      <c r="L90" s="123" t="s">
        <v>49</v>
      </c>
      <c r="M90" s="119" t="s">
        <v>327</v>
      </c>
      <c r="N90" s="120" t="s">
        <v>510</v>
      </c>
      <c r="O90" s="120">
        <v>0</v>
      </c>
      <c r="P90" s="120">
        <v>1</v>
      </c>
      <c r="Q90" s="120">
        <v>0</v>
      </c>
      <c r="R90" s="120">
        <v>0</v>
      </c>
      <c r="S90" s="120">
        <v>0</v>
      </c>
      <c r="T90" s="126" t="s">
        <v>66</v>
      </c>
      <c r="U90" s="103" t="s">
        <v>509</v>
      </c>
      <c r="V90" s="103">
        <v>0</v>
      </c>
      <c r="W90" s="103">
        <v>0</v>
      </c>
      <c r="X90" s="103">
        <v>0</v>
      </c>
      <c r="Y90" s="103">
        <v>0</v>
      </c>
      <c r="Z90" s="103">
        <v>0</v>
      </c>
      <c r="AA90" s="103">
        <v>0</v>
      </c>
      <c r="AB90" s="105">
        <v>36205</v>
      </c>
      <c r="AC90" s="105">
        <v>36205</v>
      </c>
      <c r="AD90" s="106">
        <f t="shared" si="59"/>
        <v>0</v>
      </c>
      <c r="AE90" s="106">
        <v>0</v>
      </c>
      <c r="AF90" s="106">
        <v>0</v>
      </c>
      <c r="AG90" s="105" t="s">
        <v>389</v>
      </c>
      <c r="AH90" s="100">
        <v>1</v>
      </c>
      <c r="AI90" s="127" t="s">
        <v>1</v>
      </c>
      <c r="AJ90" s="105">
        <v>36205</v>
      </c>
      <c r="AK90" s="106">
        <f t="shared" si="60"/>
        <v>4.9938398357289531</v>
      </c>
      <c r="AL90" s="106">
        <f t="shared" si="61"/>
        <v>0</v>
      </c>
      <c r="AM90" s="106">
        <f t="shared" si="62"/>
        <v>4.9938398357289531</v>
      </c>
      <c r="AN90" s="102">
        <v>3</v>
      </c>
      <c r="AO90" s="102">
        <v>0</v>
      </c>
      <c r="AP90" s="128">
        <v>36389</v>
      </c>
      <c r="AQ90" s="128">
        <v>36400</v>
      </c>
      <c r="AR90" s="129">
        <f t="shared" si="63"/>
        <v>1.5714285714285714</v>
      </c>
      <c r="AS90" s="109">
        <v>10</v>
      </c>
      <c r="AT90" s="109">
        <v>42.5</v>
      </c>
      <c r="AU90" s="109">
        <f t="shared" si="78"/>
        <v>425</v>
      </c>
      <c r="AV90" s="109">
        <v>1</v>
      </c>
      <c r="AW90" s="109">
        <v>1</v>
      </c>
      <c r="AX90" s="109">
        <v>0</v>
      </c>
      <c r="AY90" s="109">
        <v>1</v>
      </c>
      <c r="AZ90" s="109">
        <v>0</v>
      </c>
      <c r="BA90" s="109">
        <v>0</v>
      </c>
      <c r="BB90" s="109">
        <v>0</v>
      </c>
      <c r="BC90" s="109">
        <v>3</v>
      </c>
      <c r="BD90" s="125">
        <v>1</v>
      </c>
      <c r="BE90" s="131">
        <v>36500</v>
      </c>
      <c r="BF90" s="124"/>
      <c r="BG90" s="124">
        <f t="shared" si="70"/>
        <v>36500</v>
      </c>
      <c r="BH90" s="124"/>
      <c r="BI90" s="102" t="s">
        <v>295</v>
      </c>
      <c r="BJ90" s="100">
        <f t="shared" si="64"/>
        <v>4.6981519507186853</v>
      </c>
      <c r="BK90" s="100">
        <f t="shared" si="65"/>
        <v>142.99999999999997</v>
      </c>
      <c r="BL90" s="100">
        <v>0</v>
      </c>
      <c r="BM90" s="110"/>
      <c r="BN90" s="100"/>
      <c r="BO90" s="100">
        <f>BJ90</f>
        <v>4.6981519507186853</v>
      </c>
      <c r="BP90" s="100">
        <f t="shared" si="66"/>
        <v>142.99999999999997</v>
      </c>
      <c r="BQ90" s="100">
        <v>1</v>
      </c>
      <c r="BR90" s="110">
        <v>36489</v>
      </c>
      <c r="BS90" s="106">
        <f t="shared" si="71"/>
        <v>4.3367556468172488</v>
      </c>
      <c r="BT90" s="100">
        <f t="shared" si="67"/>
        <v>132.00000000000003</v>
      </c>
      <c r="BU90" s="100">
        <f>BQ90+BL90</f>
        <v>1</v>
      </c>
      <c r="BV90" s="100"/>
      <c r="BW90" s="100"/>
      <c r="BX90" s="110">
        <f t="shared" si="73"/>
        <v>36489</v>
      </c>
      <c r="BY90" s="100">
        <f t="shared" si="72"/>
        <v>4.3367556468172488</v>
      </c>
      <c r="BZ90" s="100">
        <f t="shared" si="77"/>
        <v>132.00000000000003</v>
      </c>
      <c r="CA90" s="100">
        <f t="shared" si="54"/>
        <v>1</v>
      </c>
      <c r="CB90" s="110">
        <f t="shared" si="74"/>
        <v>36489</v>
      </c>
      <c r="CC90" s="100">
        <f t="shared" si="75"/>
        <v>4.3367556468172488</v>
      </c>
      <c r="CD90" s="100">
        <f t="shared" si="76"/>
        <v>132.00000000000003</v>
      </c>
      <c r="CE90" s="132" t="s">
        <v>22</v>
      </c>
      <c r="CF90" s="126" t="s">
        <v>296</v>
      </c>
      <c r="CG90" s="100">
        <v>5</v>
      </c>
      <c r="CH90" s="115">
        <f>13.38+3.3+83.97</f>
        <v>100.65</v>
      </c>
      <c r="CI90" s="126" t="s">
        <v>384</v>
      </c>
      <c r="CJ90" s="126" t="s">
        <v>385</v>
      </c>
      <c r="CK90" s="126" t="s">
        <v>364</v>
      </c>
      <c r="CL90" s="126"/>
      <c r="CM90" s="126" t="s">
        <v>408</v>
      </c>
      <c r="CN90" s="110"/>
      <c r="CO90" s="100">
        <v>0</v>
      </c>
      <c r="CP90" s="110"/>
      <c r="CQ90" s="110" t="s">
        <v>408</v>
      </c>
      <c r="CR90" s="126"/>
    </row>
    <row r="91" spans="1:96" s="113" customFormat="1" ht="25.5">
      <c r="A91" s="119" t="s">
        <v>44</v>
      </c>
      <c r="B91" s="119" t="s">
        <v>237</v>
      </c>
      <c r="C91" s="120">
        <v>54</v>
      </c>
      <c r="D91" s="96">
        <v>89</v>
      </c>
      <c r="E91" s="120">
        <v>9700</v>
      </c>
      <c r="F91" s="121">
        <v>15684</v>
      </c>
      <c r="G91" s="122">
        <v>2156758</v>
      </c>
      <c r="H91" s="123" t="s">
        <v>121</v>
      </c>
      <c r="I91" s="124">
        <v>36341</v>
      </c>
      <c r="J91" s="122">
        <f t="shared" si="58"/>
        <v>56.555783709787818</v>
      </c>
      <c r="K91" s="125">
        <v>0</v>
      </c>
      <c r="L91" s="123" t="s">
        <v>49</v>
      </c>
      <c r="M91" s="119" t="s">
        <v>239</v>
      </c>
      <c r="N91" s="120" t="s">
        <v>107</v>
      </c>
      <c r="O91" s="120">
        <v>1</v>
      </c>
      <c r="P91" s="120">
        <v>0</v>
      </c>
      <c r="Q91" s="120">
        <v>0</v>
      </c>
      <c r="R91" s="120">
        <v>0</v>
      </c>
      <c r="S91" s="120">
        <v>0</v>
      </c>
      <c r="T91" s="126" t="s">
        <v>155</v>
      </c>
      <c r="U91" s="103" t="s">
        <v>402</v>
      </c>
      <c r="V91" s="103">
        <v>1</v>
      </c>
      <c r="W91" s="103">
        <v>0</v>
      </c>
      <c r="X91" s="103">
        <v>0</v>
      </c>
      <c r="Y91" s="103">
        <v>0</v>
      </c>
      <c r="Z91" s="103">
        <v>0</v>
      </c>
      <c r="AA91" s="103">
        <v>0</v>
      </c>
      <c r="AB91" s="105">
        <v>35352</v>
      </c>
      <c r="AC91" s="105">
        <v>35899</v>
      </c>
      <c r="AD91" s="106">
        <f t="shared" si="59"/>
        <v>17.97125256673511</v>
      </c>
      <c r="AE91" s="106">
        <v>1</v>
      </c>
      <c r="AF91" s="106">
        <v>0</v>
      </c>
      <c r="AG91" s="105" t="s">
        <v>388</v>
      </c>
      <c r="AH91" s="100">
        <v>0</v>
      </c>
      <c r="AI91" s="127" t="s">
        <v>379</v>
      </c>
      <c r="AJ91" s="105">
        <v>36320</v>
      </c>
      <c r="AK91" s="106">
        <f t="shared" si="60"/>
        <v>0.68993839835728954</v>
      </c>
      <c r="AL91" s="106">
        <f t="shared" si="61"/>
        <v>13.831622176591374</v>
      </c>
      <c r="AM91" s="106">
        <f t="shared" si="62"/>
        <v>32.492813141683776</v>
      </c>
      <c r="AN91" s="102">
        <v>2</v>
      </c>
      <c r="AO91" s="102">
        <v>0</v>
      </c>
      <c r="AP91" s="128">
        <v>36369</v>
      </c>
      <c r="AQ91" s="128">
        <v>36383</v>
      </c>
      <c r="AR91" s="129">
        <f t="shared" si="63"/>
        <v>2</v>
      </c>
      <c r="AS91" s="109">
        <v>11</v>
      </c>
      <c r="AT91" s="109">
        <v>5</v>
      </c>
      <c r="AU91" s="109">
        <f t="shared" si="78"/>
        <v>55</v>
      </c>
      <c r="AV91" s="109">
        <v>1</v>
      </c>
      <c r="AW91" s="109">
        <v>0</v>
      </c>
      <c r="AX91" s="109">
        <v>0</v>
      </c>
      <c r="AY91" s="109">
        <v>0</v>
      </c>
      <c r="AZ91" s="109">
        <v>1</v>
      </c>
      <c r="BA91" s="109">
        <v>0</v>
      </c>
      <c r="BB91" s="109">
        <v>0</v>
      </c>
      <c r="BC91" s="109">
        <v>2</v>
      </c>
      <c r="BD91" s="125">
        <v>1</v>
      </c>
      <c r="BE91" s="131">
        <v>37210</v>
      </c>
      <c r="BF91" s="124"/>
      <c r="BG91" s="124">
        <f t="shared" si="70"/>
        <v>37210</v>
      </c>
      <c r="BH91" s="124"/>
      <c r="BI91" s="102" t="s">
        <v>82</v>
      </c>
      <c r="BJ91" s="100">
        <f t="shared" si="64"/>
        <v>28.550308008213548</v>
      </c>
      <c r="BK91" s="100">
        <f t="shared" si="65"/>
        <v>868.99999999999989</v>
      </c>
      <c r="BL91" s="100">
        <v>0</v>
      </c>
      <c r="BM91" s="110"/>
      <c r="BN91" s="100"/>
      <c r="BO91" s="100">
        <f>BJ91</f>
        <v>28.550308008213548</v>
      </c>
      <c r="BP91" s="100">
        <f t="shared" si="66"/>
        <v>868.99999999999989</v>
      </c>
      <c r="BQ91" s="100">
        <v>1</v>
      </c>
      <c r="BR91" s="110">
        <v>36567</v>
      </c>
      <c r="BS91" s="106">
        <f t="shared" si="71"/>
        <v>7.4250513347022586</v>
      </c>
      <c r="BT91" s="100">
        <f t="shared" si="67"/>
        <v>226</v>
      </c>
      <c r="BU91" s="100">
        <f>BQ91+BL91</f>
        <v>1</v>
      </c>
      <c r="BV91" s="100"/>
      <c r="BW91" s="100"/>
      <c r="BX91" s="110">
        <f t="shared" si="73"/>
        <v>36567</v>
      </c>
      <c r="BY91" s="100">
        <f t="shared" si="72"/>
        <v>7.4250513347022586</v>
      </c>
      <c r="BZ91" s="100">
        <f t="shared" si="77"/>
        <v>226</v>
      </c>
      <c r="CA91" s="100">
        <f t="shared" si="54"/>
        <v>1</v>
      </c>
      <c r="CB91" s="110">
        <f t="shared" si="74"/>
        <v>36567</v>
      </c>
      <c r="CC91" s="100">
        <f t="shared" si="75"/>
        <v>7.4250513347022586</v>
      </c>
      <c r="CD91" s="100">
        <f t="shared" si="76"/>
        <v>226</v>
      </c>
      <c r="CE91" s="132" t="s">
        <v>38</v>
      </c>
      <c r="CF91" s="126" t="s">
        <v>38</v>
      </c>
      <c r="CG91" s="100">
        <v>1</v>
      </c>
      <c r="CH91" s="115">
        <f>6.2+2.51</f>
        <v>8.7100000000000009</v>
      </c>
      <c r="CI91" s="126" t="s">
        <v>201</v>
      </c>
      <c r="CJ91" s="126" t="s">
        <v>62</v>
      </c>
      <c r="CK91" s="126" t="s">
        <v>38</v>
      </c>
      <c r="CL91" s="126"/>
      <c r="CM91" s="126" t="s">
        <v>408</v>
      </c>
      <c r="CN91" s="110"/>
      <c r="CO91" s="100">
        <v>0</v>
      </c>
      <c r="CP91" s="110"/>
      <c r="CQ91" s="110" t="s">
        <v>408</v>
      </c>
      <c r="CR91" s="126"/>
    </row>
    <row r="92" spans="1:96" s="113" customFormat="1" ht="25.5">
      <c r="A92" s="119" t="s">
        <v>91</v>
      </c>
      <c r="B92" s="119" t="s">
        <v>237</v>
      </c>
      <c r="C92" s="120">
        <v>55</v>
      </c>
      <c r="D92" s="96">
        <v>90</v>
      </c>
      <c r="E92" s="120">
        <v>9700</v>
      </c>
      <c r="F92" s="121">
        <v>14095</v>
      </c>
      <c r="G92" s="122">
        <v>274765</v>
      </c>
      <c r="H92" s="123" t="s">
        <v>121</v>
      </c>
      <c r="I92" s="124">
        <v>36384</v>
      </c>
      <c r="J92" s="122">
        <f t="shared" si="58"/>
        <v>61.023956194387409</v>
      </c>
      <c r="K92" s="125">
        <v>0</v>
      </c>
      <c r="L92" s="123" t="s">
        <v>49</v>
      </c>
      <c r="M92" s="119" t="s">
        <v>327</v>
      </c>
      <c r="N92" s="120" t="s">
        <v>510</v>
      </c>
      <c r="O92" s="120">
        <v>0</v>
      </c>
      <c r="P92" s="120">
        <v>1</v>
      </c>
      <c r="Q92" s="120">
        <v>0</v>
      </c>
      <c r="R92" s="120">
        <v>0</v>
      </c>
      <c r="S92" s="120">
        <v>0</v>
      </c>
      <c r="T92" s="126" t="s">
        <v>155</v>
      </c>
      <c r="U92" s="103" t="s">
        <v>402</v>
      </c>
      <c r="V92" s="103">
        <v>1</v>
      </c>
      <c r="W92" s="103">
        <v>0</v>
      </c>
      <c r="X92" s="103">
        <v>0</v>
      </c>
      <c r="Y92" s="103">
        <v>0</v>
      </c>
      <c r="Z92" s="103">
        <v>0</v>
      </c>
      <c r="AA92" s="103">
        <v>0</v>
      </c>
      <c r="AB92" s="105">
        <v>35899</v>
      </c>
      <c r="AC92" s="105">
        <v>35899</v>
      </c>
      <c r="AD92" s="106">
        <f t="shared" si="59"/>
        <v>0</v>
      </c>
      <c r="AE92" s="106">
        <v>1</v>
      </c>
      <c r="AF92" s="106">
        <v>0</v>
      </c>
      <c r="AG92" s="105" t="s">
        <v>389</v>
      </c>
      <c r="AH92" s="100">
        <v>1</v>
      </c>
      <c r="AI92" s="127" t="s">
        <v>327</v>
      </c>
      <c r="AJ92" s="105">
        <v>35899</v>
      </c>
      <c r="AK92" s="106">
        <f t="shared" si="60"/>
        <v>15.93429158110883</v>
      </c>
      <c r="AL92" s="106">
        <f t="shared" si="61"/>
        <v>0</v>
      </c>
      <c r="AM92" s="106">
        <f t="shared" si="62"/>
        <v>15.93429158110883</v>
      </c>
      <c r="AN92" s="102">
        <v>2</v>
      </c>
      <c r="AO92" s="102">
        <v>0</v>
      </c>
      <c r="AP92" s="128">
        <v>36396</v>
      </c>
      <c r="AQ92" s="128">
        <v>36410</v>
      </c>
      <c r="AR92" s="129">
        <f t="shared" si="63"/>
        <v>2</v>
      </c>
      <c r="AS92" s="109">
        <v>10</v>
      </c>
      <c r="AT92" s="109">
        <v>5</v>
      </c>
      <c r="AU92" s="109">
        <f t="shared" si="78"/>
        <v>50</v>
      </c>
      <c r="AV92" s="109">
        <v>1</v>
      </c>
      <c r="AW92" s="109">
        <v>0</v>
      </c>
      <c r="AX92" s="109">
        <v>0</v>
      </c>
      <c r="AY92" s="109">
        <v>0</v>
      </c>
      <c r="AZ92" s="109">
        <v>1</v>
      </c>
      <c r="BA92" s="109">
        <v>0</v>
      </c>
      <c r="BB92" s="109">
        <v>0</v>
      </c>
      <c r="BC92" s="109">
        <v>2</v>
      </c>
      <c r="BD92" s="125">
        <v>1</v>
      </c>
      <c r="BE92" s="131">
        <v>36732</v>
      </c>
      <c r="BF92" s="124"/>
      <c r="BG92" s="124">
        <f t="shared" si="70"/>
        <v>36732</v>
      </c>
      <c r="BH92" s="124"/>
      <c r="BI92" s="102" t="s">
        <v>82</v>
      </c>
      <c r="BJ92" s="100">
        <f t="shared" si="64"/>
        <v>11.433264887063656</v>
      </c>
      <c r="BK92" s="100">
        <f t="shared" si="65"/>
        <v>348</v>
      </c>
      <c r="BL92" s="100">
        <v>0</v>
      </c>
      <c r="BM92" s="110"/>
      <c r="BN92" s="100"/>
      <c r="BO92" s="100">
        <f>BJ92</f>
        <v>11.433264887063656</v>
      </c>
      <c r="BP92" s="100">
        <f t="shared" si="66"/>
        <v>348</v>
      </c>
      <c r="BQ92" s="100">
        <v>1</v>
      </c>
      <c r="BR92" s="110">
        <v>36732</v>
      </c>
      <c r="BS92" s="106">
        <f t="shared" si="71"/>
        <v>11.433264887063656</v>
      </c>
      <c r="BT92" s="100">
        <f t="shared" si="67"/>
        <v>348</v>
      </c>
      <c r="BU92" s="100">
        <f>BQ92+BL92</f>
        <v>1</v>
      </c>
      <c r="BV92" s="100"/>
      <c r="BW92" s="100"/>
      <c r="BX92" s="110">
        <f t="shared" si="73"/>
        <v>36732</v>
      </c>
      <c r="BY92" s="100">
        <f t="shared" si="72"/>
        <v>11.433264887063656</v>
      </c>
      <c r="BZ92" s="100">
        <f t="shared" si="77"/>
        <v>348</v>
      </c>
      <c r="CA92" s="100">
        <f t="shared" si="54"/>
        <v>1</v>
      </c>
      <c r="CB92" s="110">
        <f t="shared" si="74"/>
        <v>36732</v>
      </c>
      <c r="CC92" s="100">
        <f t="shared" si="75"/>
        <v>11.433264887063656</v>
      </c>
      <c r="CD92" s="100">
        <f t="shared" si="76"/>
        <v>348</v>
      </c>
      <c r="CE92" s="132" t="s">
        <v>38</v>
      </c>
      <c r="CF92" s="126" t="s">
        <v>38</v>
      </c>
      <c r="CG92" s="100">
        <v>4</v>
      </c>
      <c r="CH92" s="115">
        <f>28.94+22.19</f>
        <v>51.13</v>
      </c>
      <c r="CI92" s="126" t="s">
        <v>201</v>
      </c>
      <c r="CJ92" s="126" t="s">
        <v>423</v>
      </c>
      <c r="CK92" s="126" t="s">
        <v>364</v>
      </c>
      <c r="CL92" s="126" t="s">
        <v>363</v>
      </c>
      <c r="CM92" s="126" t="s">
        <v>408</v>
      </c>
      <c r="CN92" s="110"/>
      <c r="CO92" s="100">
        <v>0</v>
      </c>
      <c r="CP92" s="110"/>
      <c r="CQ92" s="110" t="s">
        <v>408</v>
      </c>
      <c r="CR92" s="126"/>
    </row>
    <row r="93" spans="1:96" s="113" customFormat="1" ht="25.5">
      <c r="A93" s="119" t="s">
        <v>289</v>
      </c>
      <c r="B93" s="119" t="s">
        <v>202</v>
      </c>
      <c r="C93" s="120">
        <v>57</v>
      </c>
      <c r="D93" s="96">
        <v>91</v>
      </c>
      <c r="E93" s="120">
        <v>9700</v>
      </c>
      <c r="F93" s="121">
        <v>11140</v>
      </c>
      <c r="G93" s="122">
        <v>1373679</v>
      </c>
      <c r="H93" s="123" t="s">
        <v>121</v>
      </c>
      <c r="I93" s="124">
        <v>36404</v>
      </c>
      <c r="J93" s="122">
        <f t="shared" si="58"/>
        <v>69.169062286105401</v>
      </c>
      <c r="K93" s="125">
        <v>0</v>
      </c>
      <c r="L93" s="123" t="s">
        <v>49</v>
      </c>
      <c r="M93" s="119" t="s">
        <v>128</v>
      </c>
      <c r="N93" s="120" t="s">
        <v>107</v>
      </c>
      <c r="O93" s="120">
        <v>1</v>
      </c>
      <c r="P93" s="120">
        <v>0</v>
      </c>
      <c r="Q93" s="120">
        <v>0</v>
      </c>
      <c r="R93" s="120">
        <v>0</v>
      </c>
      <c r="S93" s="120">
        <v>0</v>
      </c>
      <c r="T93" s="126" t="s">
        <v>155</v>
      </c>
      <c r="U93" s="103" t="s">
        <v>402</v>
      </c>
      <c r="V93" s="103">
        <v>1</v>
      </c>
      <c r="W93" s="103">
        <v>0</v>
      </c>
      <c r="X93" s="103">
        <v>0</v>
      </c>
      <c r="Y93" s="103">
        <v>0</v>
      </c>
      <c r="Z93" s="103">
        <v>0</v>
      </c>
      <c r="AA93" s="103">
        <v>0</v>
      </c>
      <c r="AB93" s="105">
        <v>35625</v>
      </c>
      <c r="AC93" s="105">
        <v>35699</v>
      </c>
      <c r="AD93" s="106">
        <f t="shared" si="59"/>
        <v>2.431211498973306</v>
      </c>
      <c r="AE93" s="106">
        <v>0</v>
      </c>
      <c r="AF93" s="106">
        <v>0</v>
      </c>
      <c r="AG93" s="105" t="s">
        <v>389</v>
      </c>
      <c r="AH93" s="100">
        <v>1</v>
      </c>
      <c r="AI93" s="127" t="s">
        <v>340</v>
      </c>
      <c r="AJ93" s="105">
        <v>35699</v>
      </c>
      <c r="AK93" s="106">
        <f t="shared" si="60"/>
        <v>23.162217659137578</v>
      </c>
      <c r="AL93" s="106">
        <f t="shared" si="61"/>
        <v>0</v>
      </c>
      <c r="AM93" s="106">
        <f t="shared" si="62"/>
        <v>25.593429158110883</v>
      </c>
      <c r="AN93" s="102">
        <v>5</v>
      </c>
      <c r="AO93" s="102">
        <v>0</v>
      </c>
      <c r="AP93" s="128">
        <v>36476</v>
      </c>
      <c r="AQ93" s="128">
        <v>36489</v>
      </c>
      <c r="AR93" s="129">
        <f t="shared" si="63"/>
        <v>1.8571428571428572</v>
      </c>
      <c r="AS93" s="109">
        <v>10</v>
      </c>
      <c r="AT93" s="109">
        <v>5</v>
      </c>
      <c r="AU93" s="109">
        <f t="shared" si="78"/>
        <v>50</v>
      </c>
      <c r="AV93" s="109">
        <v>1</v>
      </c>
      <c r="AW93" s="109">
        <v>1</v>
      </c>
      <c r="AX93" s="109">
        <v>1</v>
      </c>
      <c r="AY93" s="109">
        <v>0</v>
      </c>
      <c r="AZ93" s="109">
        <v>0</v>
      </c>
      <c r="BA93" s="109">
        <v>0</v>
      </c>
      <c r="BB93" s="109">
        <v>0</v>
      </c>
      <c r="BC93" s="109">
        <v>3</v>
      </c>
      <c r="BD93" s="125">
        <v>1</v>
      </c>
      <c r="BE93" s="131">
        <v>37023</v>
      </c>
      <c r="BF93" s="124"/>
      <c r="BG93" s="124">
        <f t="shared" si="70"/>
        <v>37023</v>
      </c>
      <c r="BH93" s="124"/>
      <c r="BI93" s="102" t="s">
        <v>82</v>
      </c>
      <c r="BJ93" s="100">
        <f t="shared" si="64"/>
        <v>20.336755646817249</v>
      </c>
      <c r="BK93" s="100">
        <f t="shared" si="65"/>
        <v>619</v>
      </c>
      <c r="BL93" s="100">
        <v>1</v>
      </c>
      <c r="BM93" s="110">
        <v>36665</v>
      </c>
      <c r="BN93" s="100">
        <f>(BM93-AQ93)*12/365.25</f>
        <v>5.7823408624229984</v>
      </c>
      <c r="BO93" s="100">
        <f>(BM93-I93)*12/365.25</f>
        <v>8.5749486652977414</v>
      </c>
      <c r="BP93" s="100">
        <f t="shared" si="66"/>
        <v>261</v>
      </c>
      <c r="BQ93" s="100">
        <v>1</v>
      </c>
      <c r="BR93" s="110">
        <v>36665</v>
      </c>
      <c r="BS93" s="106">
        <f t="shared" si="71"/>
        <v>8.5749486652977414</v>
      </c>
      <c r="BT93" s="100">
        <f t="shared" si="67"/>
        <v>261</v>
      </c>
      <c r="BU93" s="100">
        <v>1</v>
      </c>
      <c r="BV93" s="100"/>
      <c r="BW93" s="100"/>
      <c r="BX93" s="110">
        <f t="shared" si="73"/>
        <v>36665</v>
      </c>
      <c r="BY93" s="100">
        <f t="shared" si="72"/>
        <v>8.5749486652977414</v>
      </c>
      <c r="BZ93" s="100">
        <f t="shared" si="77"/>
        <v>261</v>
      </c>
      <c r="CA93" s="100">
        <f t="shared" si="54"/>
        <v>1</v>
      </c>
      <c r="CB93" s="110">
        <f t="shared" si="74"/>
        <v>36665</v>
      </c>
      <c r="CC93" s="100">
        <f t="shared" si="75"/>
        <v>8.5749486652977414</v>
      </c>
      <c r="CD93" s="100">
        <f t="shared" si="76"/>
        <v>261</v>
      </c>
      <c r="CE93" s="132" t="s">
        <v>38</v>
      </c>
      <c r="CF93" s="126" t="s">
        <v>38</v>
      </c>
      <c r="CG93" s="100">
        <v>3</v>
      </c>
      <c r="CH93" s="115">
        <f>18.12+0.67+3.26+0.99+0.25</f>
        <v>23.290000000000003</v>
      </c>
      <c r="CI93" s="126" t="s">
        <v>349</v>
      </c>
      <c r="CJ93" s="126" t="s">
        <v>38</v>
      </c>
      <c r="CK93" s="126" t="s">
        <v>38</v>
      </c>
      <c r="CL93" s="126"/>
      <c r="CM93" s="126" t="s">
        <v>408</v>
      </c>
      <c r="CN93" s="110"/>
      <c r="CO93" s="100">
        <v>0</v>
      </c>
      <c r="CP93" s="110"/>
      <c r="CQ93" s="110" t="s">
        <v>408</v>
      </c>
      <c r="CR93" s="126"/>
    </row>
    <row r="94" spans="1:96" s="113" customFormat="1" ht="25.5">
      <c r="A94" s="119" t="s">
        <v>55</v>
      </c>
      <c r="B94" s="119" t="s">
        <v>146</v>
      </c>
      <c r="C94" s="120">
        <v>60</v>
      </c>
      <c r="D94" s="96">
        <v>92</v>
      </c>
      <c r="E94" s="120">
        <v>9700</v>
      </c>
      <c r="F94" s="121">
        <v>12906</v>
      </c>
      <c r="G94" s="122">
        <v>1653794</v>
      </c>
      <c r="H94" s="123" t="s">
        <v>121</v>
      </c>
      <c r="I94" s="124">
        <v>36426</v>
      </c>
      <c r="J94" s="122">
        <f t="shared" si="58"/>
        <v>64.394250513347018</v>
      </c>
      <c r="K94" s="125">
        <v>0</v>
      </c>
      <c r="L94" s="123" t="s">
        <v>49</v>
      </c>
      <c r="M94" s="119" t="s">
        <v>128</v>
      </c>
      <c r="N94" s="120" t="s">
        <v>107</v>
      </c>
      <c r="O94" s="120">
        <v>1</v>
      </c>
      <c r="P94" s="120">
        <v>0</v>
      </c>
      <c r="Q94" s="120">
        <v>0</v>
      </c>
      <c r="R94" s="120">
        <v>0</v>
      </c>
      <c r="S94" s="120">
        <v>0</v>
      </c>
      <c r="T94" s="126" t="s">
        <v>155</v>
      </c>
      <c r="U94" s="103" t="s">
        <v>402</v>
      </c>
      <c r="V94" s="103">
        <v>1</v>
      </c>
      <c r="W94" s="103">
        <v>0</v>
      </c>
      <c r="X94" s="103">
        <v>0</v>
      </c>
      <c r="Y94" s="103">
        <v>0</v>
      </c>
      <c r="Z94" s="103">
        <v>0</v>
      </c>
      <c r="AA94" s="103">
        <v>0</v>
      </c>
      <c r="AB94" s="105">
        <v>35748</v>
      </c>
      <c r="AC94" s="105">
        <v>36250</v>
      </c>
      <c r="AD94" s="106">
        <f t="shared" si="59"/>
        <v>16.492813141683779</v>
      </c>
      <c r="AE94" s="106">
        <v>0</v>
      </c>
      <c r="AF94" s="106">
        <v>0</v>
      </c>
      <c r="AG94" s="105" t="s">
        <v>387</v>
      </c>
      <c r="AH94" s="100">
        <v>1</v>
      </c>
      <c r="AI94" s="127" t="s">
        <v>270</v>
      </c>
      <c r="AJ94" s="105">
        <v>36250</v>
      </c>
      <c r="AK94" s="106">
        <f t="shared" si="60"/>
        <v>5.7823408624229984</v>
      </c>
      <c r="AL94" s="106">
        <f t="shared" si="61"/>
        <v>0</v>
      </c>
      <c r="AM94" s="106">
        <f t="shared" si="62"/>
        <v>22.275154004106778</v>
      </c>
      <c r="AN94" s="102">
        <v>3</v>
      </c>
      <c r="AO94" s="102">
        <v>0</v>
      </c>
      <c r="AP94" s="128">
        <v>36438</v>
      </c>
      <c r="AQ94" s="128">
        <v>36449</v>
      </c>
      <c r="AR94" s="129">
        <f t="shared" si="63"/>
        <v>1.5714285714285714</v>
      </c>
      <c r="AS94" s="109">
        <v>10</v>
      </c>
      <c r="AT94" s="109">
        <v>5</v>
      </c>
      <c r="AU94" s="109">
        <f t="shared" si="78"/>
        <v>50</v>
      </c>
      <c r="AV94" s="109">
        <v>0</v>
      </c>
      <c r="AW94" s="109">
        <v>0</v>
      </c>
      <c r="AX94" s="109">
        <v>1</v>
      </c>
      <c r="AY94" s="109">
        <v>0</v>
      </c>
      <c r="AZ94" s="109">
        <v>0</v>
      </c>
      <c r="BA94" s="109">
        <v>0</v>
      </c>
      <c r="BB94" s="109">
        <v>0</v>
      </c>
      <c r="BC94" s="109">
        <v>1</v>
      </c>
      <c r="BD94" s="125">
        <v>1</v>
      </c>
      <c r="BE94" s="131">
        <v>37300</v>
      </c>
      <c r="BF94" s="124"/>
      <c r="BG94" s="124">
        <f t="shared" si="70"/>
        <v>37300</v>
      </c>
      <c r="BH94" s="124"/>
      <c r="BI94" s="102" t="s">
        <v>82</v>
      </c>
      <c r="BJ94" s="100">
        <f t="shared" si="64"/>
        <v>28.714579055441479</v>
      </c>
      <c r="BK94" s="100">
        <f t="shared" si="65"/>
        <v>874</v>
      </c>
      <c r="BL94" s="100">
        <v>0</v>
      </c>
      <c r="BM94" s="110"/>
      <c r="BN94" s="100"/>
      <c r="BO94" s="100">
        <f t="shared" ref="BO94:BO100" si="79">BJ94</f>
        <v>28.714579055441479</v>
      </c>
      <c r="BP94" s="100">
        <f t="shared" si="66"/>
        <v>874</v>
      </c>
      <c r="BQ94" s="100">
        <v>1</v>
      </c>
      <c r="BR94" s="110">
        <v>36581</v>
      </c>
      <c r="BS94" s="106">
        <f t="shared" si="71"/>
        <v>5.0924024640657084</v>
      </c>
      <c r="BT94" s="100">
        <f t="shared" si="67"/>
        <v>155</v>
      </c>
      <c r="BU94" s="100">
        <f t="shared" ref="BU94:BU100" si="80">BQ94+BL94</f>
        <v>1</v>
      </c>
      <c r="BV94" s="100"/>
      <c r="BW94" s="100"/>
      <c r="BX94" s="110">
        <f t="shared" si="73"/>
        <v>36581</v>
      </c>
      <c r="BY94" s="100">
        <f t="shared" si="72"/>
        <v>5.0924024640657084</v>
      </c>
      <c r="BZ94" s="100">
        <f t="shared" si="77"/>
        <v>155</v>
      </c>
      <c r="CA94" s="100">
        <f t="shared" si="54"/>
        <v>1</v>
      </c>
      <c r="CB94" s="110">
        <f t="shared" si="74"/>
        <v>36581</v>
      </c>
      <c r="CC94" s="100">
        <f t="shared" si="75"/>
        <v>5.0924024640657084</v>
      </c>
      <c r="CD94" s="100">
        <f t="shared" si="76"/>
        <v>155</v>
      </c>
      <c r="CE94" s="132" t="s">
        <v>38</v>
      </c>
      <c r="CF94" s="126" t="s">
        <v>38</v>
      </c>
      <c r="CG94" s="100">
        <v>2</v>
      </c>
      <c r="CH94" s="112">
        <v>15</v>
      </c>
      <c r="CI94" s="126" t="s">
        <v>327</v>
      </c>
      <c r="CJ94" s="126" t="s">
        <v>79</v>
      </c>
      <c r="CK94" s="126" t="s">
        <v>364</v>
      </c>
      <c r="CL94" s="126"/>
      <c r="CM94" s="126" t="s">
        <v>408</v>
      </c>
      <c r="CN94" s="110"/>
      <c r="CO94" s="100">
        <v>0</v>
      </c>
      <c r="CP94" s="110"/>
      <c r="CQ94" s="110" t="s">
        <v>408</v>
      </c>
      <c r="CR94" s="126"/>
    </row>
    <row r="95" spans="1:96" s="113" customFormat="1" ht="25.5">
      <c r="A95" s="119" t="s">
        <v>331</v>
      </c>
      <c r="B95" s="119" t="s">
        <v>212</v>
      </c>
      <c r="C95" s="120">
        <v>63</v>
      </c>
      <c r="D95" s="96">
        <v>93</v>
      </c>
      <c r="E95" s="120">
        <v>9700</v>
      </c>
      <c r="F95" s="121">
        <v>14557</v>
      </c>
      <c r="G95" s="122">
        <v>1382247</v>
      </c>
      <c r="H95" s="123" t="s">
        <v>50</v>
      </c>
      <c r="I95" s="124">
        <v>36459</v>
      </c>
      <c r="J95" s="122">
        <f t="shared" si="58"/>
        <v>59.964407939767284</v>
      </c>
      <c r="K95" s="125">
        <v>0</v>
      </c>
      <c r="L95" s="123" t="s">
        <v>51</v>
      </c>
      <c r="M95" s="119" t="s">
        <v>168</v>
      </c>
      <c r="N95" s="120" t="s">
        <v>510</v>
      </c>
      <c r="O95" s="120">
        <v>0</v>
      </c>
      <c r="P95" s="120">
        <v>1</v>
      </c>
      <c r="Q95" s="120">
        <v>0</v>
      </c>
      <c r="R95" s="120">
        <v>0</v>
      </c>
      <c r="S95" s="120">
        <v>0</v>
      </c>
      <c r="T95" s="126" t="s">
        <v>155</v>
      </c>
      <c r="U95" s="103" t="s">
        <v>402</v>
      </c>
      <c r="V95" s="103">
        <v>1</v>
      </c>
      <c r="W95" s="103">
        <v>0</v>
      </c>
      <c r="X95" s="103">
        <v>0</v>
      </c>
      <c r="Y95" s="103">
        <v>0</v>
      </c>
      <c r="Z95" s="103">
        <v>0</v>
      </c>
      <c r="AA95" s="103">
        <v>0</v>
      </c>
      <c r="AB95" s="105">
        <v>35664</v>
      </c>
      <c r="AC95" s="105">
        <v>36314</v>
      </c>
      <c r="AD95" s="106">
        <f t="shared" si="59"/>
        <v>21.355236139630392</v>
      </c>
      <c r="AE95" s="106">
        <v>0</v>
      </c>
      <c r="AF95" s="106">
        <v>0</v>
      </c>
      <c r="AG95" s="105" t="s">
        <v>387</v>
      </c>
      <c r="AH95" s="100">
        <v>1</v>
      </c>
      <c r="AI95" s="127" t="s">
        <v>270</v>
      </c>
      <c r="AJ95" s="105">
        <v>36314</v>
      </c>
      <c r="AK95" s="106">
        <f t="shared" si="60"/>
        <v>4.7638603696098567</v>
      </c>
      <c r="AL95" s="106">
        <f t="shared" si="61"/>
        <v>0</v>
      </c>
      <c r="AM95" s="106">
        <f t="shared" si="62"/>
        <v>26.119096509240247</v>
      </c>
      <c r="AN95" s="102">
        <v>2</v>
      </c>
      <c r="AO95" s="102">
        <v>0</v>
      </c>
      <c r="AP95" s="128">
        <v>36460</v>
      </c>
      <c r="AQ95" s="128">
        <v>36474</v>
      </c>
      <c r="AR95" s="129">
        <f t="shared" si="63"/>
        <v>2</v>
      </c>
      <c r="AS95" s="109">
        <v>10</v>
      </c>
      <c r="AT95" s="109">
        <v>5</v>
      </c>
      <c r="AU95" s="109">
        <f t="shared" si="78"/>
        <v>50</v>
      </c>
      <c r="AV95" s="109">
        <v>0</v>
      </c>
      <c r="AW95" s="109">
        <v>0</v>
      </c>
      <c r="AX95" s="109">
        <v>1</v>
      </c>
      <c r="AY95" s="109">
        <v>0</v>
      </c>
      <c r="AZ95" s="109">
        <v>0</v>
      </c>
      <c r="BA95" s="109">
        <v>0</v>
      </c>
      <c r="BB95" s="109">
        <v>0</v>
      </c>
      <c r="BC95" s="109">
        <v>1</v>
      </c>
      <c r="BD95" s="125">
        <v>1</v>
      </c>
      <c r="BE95" s="131">
        <v>37543</v>
      </c>
      <c r="BF95" s="124"/>
      <c r="BG95" s="124">
        <f t="shared" si="70"/>
        <v>37543</v>
      </c>
      <c r="BH95" s="124"/>
      <c r="BI95" s="102" t="s">
        <v>82</v>
      </c>
      <c r="BJ95" s="100">
        <f t="shared" si="64"/>
        <v>35.613963039014379</v>
      </c>
      <c r="BK95" s="100">
        <f t="shared" si="65"/>
        <v>1084.0000000000002</v>
      </c>
      <c r="BL95" s="100">
        <v>0</v>
      </c>
      <c r="BM95" s="110"/>
      <c r="BN95" s="100"/>
      <c r="BO95" s="100">
        <f t="shared" si="79"/>
        <v>35.613963039014379</v>
      </c>
      <c r="BP95" s="100">
        <f t="shared" si="66"/>
        <v>1084.0000000000002</v>
      </c>
      <c r="BQ95" s="100">
        <v>1</v>
      </c>
      <c r="BR95" s="110">
        <v>36691</v>
      </c>
      <c r="BS95" s="106">
        <f t="shared" si="71"/>
        <v>7.6221765913757702</v>
      </c>
      <c r="BT95" s="100">
        <f t="shared" si="67"/>
        <v>232</v>
      </c>
      <c r="BU95" s="100">
        <f t="shared" si="80"/>
        <v>1</v>
      </c>
      <c r="BV95" s="100"/>
      <c r="BW95" s="100"/>
      <c r="BX95" s="110">
        <f t="shared" si="73"/>
        <v>36691</v>
      </c>
      <c r="BY95" s="100">
        <f t="shared" si="72"/>
        <v>7.6221765913757702</v>
      </c>
      <c r="BZ95" s="100">
        <f t="shared" si="77"/>
        <v>232</v>
      </c>
      <c r="CA95" s="100">
        <f t="shared" ref="CA95:CA120" si="81">BU95</f>
        <v>1</v>
      </c>
      <c r="CB95" s="110">
        <f t="shared" si="74"/>
        <v>36691</v>
      </c>
      <c r="CC95" s="100">
        <f t="shared" si="75"/>
        <v>7.6221765913757702</v>
      </c>
      <c r="CD95" s="100">
        <f t="shared" si="76"/>
        <v>232</v>
      </c>
      <c r="CE95" s="132" t="s">
        <v>38</v>
      </c>
      <c r="CF95" s="126" t="s">
        <v>38</v>
      </c>
      <c r="CG95" s="100">
        <v>3</v>
      </c>
      <c r="CH95" s="115">
        <f>23.12+4.23</f>
        <v>27.35</v>
      </c>
      <c r="CI95" s="126" t="s">
        <v>169</v>
      </c>
      <c r="CJ95" s="126" t="s">
        <v>40</v>
      </c>
      <c r="CK95" s="126" t="s">
        <v>364</v>
      </c>
      <c r="CL95" s="126"/>
      <c r="CM95" s="126" t="s">
        <v>408</v>
      </c>
      <c r="CN95" s="110"/>
      <c r="CO95" s="100">
        <v>0</v>
      </c>
      <c r="CP95" s="110"/>
      <c r="CQ95" s="110" t="s">
        <v>408</v>
      </c>
      <c r="CR95" s="126"/>
    </row>
    <row r="96" spans="1:96" s="113" customFormat="1" ht="25.5">
      <c r="A96" s="119" t="s">
        <v>81</v>
      </c>
      <c r="B96" s="119" t="s">
        <v>161</v>
      </c>
      <c r="C96" s="120">
        <v>66</v>
      </c>
      <c r="D96" s="96">
        <v>94</v>
      </c>
      <c r="E96" s="120">
        <v>9700</v>
      </c>
      <c r="F96" s="121">
        <v>13699</v>
      </c>
      <c r="G96" s="122">
        <v>2185694</v>
      </c>
      <c r="H96" s="123" t="s">
        <v>121</v>
      </c>
      <c r="I96" s="124">
        <v>36489</v>
      </c>
      <c r="J96" s="122">
        <f t="shared" si="58"/>
        <v>62.395619438740589</v>
      </c>
      <c r="K96" s="125">
        <v>0</v>
      </c>
      <c r="L96" s="123" t="s">
        <v>49</v>
      </c>
      <c r="M96" s="119" t="s">
        <v>309</v>
      </c>
      <c r="N96" s="120" t="s">
        <v>509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6" t="s">
        <v>12</v>
      </c>
      <c r="U96" s="103" t="s">
        <v>508</v>
      </c>
      <c r="V96" s="103">
        <v>0</v>
      </c>
      <c r="W96" s="103">
        <v>0</v>
      </c>
      <c r="X96" s="103">
        <v>0</v>
      </c>
      <c r="Y96" s="103">
        <v>1</v>
      </c>
      <c r="Z96" s="103">
        <v>0</v>
      </c>
      <c r="AA96" s="103">
        <v>0</v>
      </c>
      <c r="AB96" s="105">
        <v>35595</v>
      </c>
      <c r="AC96" s="105">
        <v>35734</v>
      </c>
      <c r="AD96" s="106">
        <f t="shared" si="59"/>
        <v>4.5667351129363452</v>
      </c>
      <c r="AE96" s="106">
        <v>0</v>
      </c>
      <c r="AF96" s="106">
        <v>1</v>
      </c>
      <c r="AG96" s="105" t="s">
        <v>387</v>
      </c>
      <c r="AH96" s="100">
        <v>1</v>
      </c>
      <c r="AI96" s="127" t="s">
        <v>270</v>
      </c>
      <c r="AJ96" s="105">
        <v>35734</v>
      </c>
      <c r="AK96" s="106">
        <f t="shared" si="60"/>
        <v>24.804928131416837</v>
      </c>
      <c r="AL96" s="106">
        <f t="shared" si="61"/>
        <v>0</v>
      </c>
      <c r="AM96" s="106">
        <f t="shared" si="62"/>
        <v>29.371663244353183</v>
      </c>
      <c r="AN96" s="102">
        <v>2</v>
      </c>
      <c r="AO96" s="102">
        <v>0</v>
      </c>
      <c r="AP96" s="128">
        <v>36502</v>
      </c>
      <c r="AQ96" s="128">
        <v>36515</v>
      </c>
      <c r="AR96" s="129">
        <f t="shared" si="63"/>
        <v>1.8571428571428572</v>
      </c>
      <c r="AS96" s="109">
        <v>10</v>
      </c>
      <c r="AT96" s="109">
        <v>5</v>
      </c>
      <c r="AU96" s="109">
        <f t="shared" si="78"/>
        <v>50</v>
      </c>
      <c r="AV96" s="109">
        <v>0</v>
      </c>
      <c r="AW96" s="109">
        <v>0</v>
      </c>
      <c r="AX96" s="109">
        <v>1</v>
      </c>
      <c r="AY96" s="109">
        <v>0</v>
      </c>
      <c r="AZ96" s="109">
        <v>0</v>
      </c>
      <c r="BA96" s="109">
        <v>0</v>
      </c>
      <c r="BB96" s="109">
        <v>0</v>
      </c>
      <c r="BC96" s="109">
        <v>1</v>
      </c>
      <c r="BD96" s="125">
        <v>1</v>
      </c>
      <c r="BE96" s="131">
        <v>37192</v>
      </c>
      <c r="BF96" s="124"/>
      <c r="BG96" s="124">
        <f t="shared" si="70"/>
        <v>37192</v>
      </c>
      <c r="BH96" s="124"/>
      <c r="BI96" s="102" t="s">
        <v>82</v>
      </c>
      <c r="BJ96" s="100">
        <f t="shared" si="64"/>
        <v>23.096509240246405</v>
      </c>
      <c r="BK96" s="100">
        <f t="shared" si="65"/>
        <v>703</v>
      </c>
      <c r="BL96" s="100">
        <v>0</v>
      </c>
      <c r="BM96" s="110"/>
      <c r="BN96" s="100"/>
      <c r="BO96" s="100">
        <f t="shared" si="79"/>
        <v>23.096509240246405</v>
      </c>
      <c r="BP96" s="100">
        <f t="shared" si="66"/>
        <v>703</v>
      </c>
      <c r="BQ96" s="100">
        <v>1</v>
      </c>
      <c r="BR96" s="110">
        <v>36860</v>
      </c>
      <c r="BS96" s="106">
        <f t="shared" si="71"/>
        <v>12.188911704312115</v>
      </c>
      <c r="BT96" s="100">
        <f t="shared" si="67"/>
        <v>371</v>
      </c>
      <c r="BU96" s="100">
        <f t="shared" si="80"/>
        <v>1</v>
      </c>
      <c r="BV96" s="100"/>
      <c r="BW96" s="100"/>
      <c r="BX96" s="110">
        <f t="shared" si="73"/>
        <v>36860</v>
      </c>
      <c r="BY96" s="100">
        <f t="shared" si="72"/>
        <v>12.188911704312115</v>
      </c>
      <c r="BZ96" s="100">
        <f t="shared" si="77"/>
        <v>371</v>
      </c>
      <c r="CA96" s="100">
        <f t="shared" si="81"/>
        <v>1</v>
      </c>
      <c r="CB96" s="110">
        <f t="shared" si="74"/>
        <v>36860</v>
      </c>
      <c r="CC96" s="100">
        <f t="shared" si="75"/>
        <v>12.188911704312115</v>
      </c>
      <c r="CD96" s="100">
        <f t="shared" si="76"/>
        <v>371</v>
      </c>
      <c r="CE96" s="132" t="s">
        <v>38</v>
      </c>
      <c r="CF96" s="126" t="s">
        <v>38</v>
      </c>
      <c r="CG96" s="100">
        <v>2</v>
      </c>
      <c r="CH96" s="115">
        <f>14.5+1.39</f>
        <v>15.89</v>
      </c>
      <c r="CI96" s="126" t="s">
        <v>40</v>
      </c>
      <c r="CJ96" s="126" t="s">
        <v>41</v>
      </c>
      <c r="CK96" s="126" t="s">
        <v>363</v>
      </c>
      <c r="CL96" s="126"/>
      <c r="CM96" s="126" t="s">
        <v>408</v>
      </c>
      <c r="CN96" s="110">
        <v>36741</v>
      </c>
      <c r="CO96" s="100">
        <v>1</v>
      </c>
      <c r="CP96" s="100">
        <f>(CN96-AP96)*12/365.25</f>
        <v>7.8521560574948666</v>
      </c>
      <c r="CQ96" s="100" t="s">
        <v>389</v>
      </c>
      <c r="CR96" s="126"/>
    </row>
    <row r="97" spans="1:96" s="113" customFormat="1" ht="25.5">
      <c r="A97" s="119" t="s">
        <v>228</v>
      </c>
      <c r="B97" s="119" t="s">
        <v>53</v>
      </c>
      <c r="C97" s="120">
        <v>69</v>
      </c>
      <c r="D97" s="96">
        <v>95</v>
      </c>
      <c r="E97" s="120">
        <v>9700</v>
      </c>
      <c r="F97" s="121">
        <v>21519</v>
      </c>
      <c r="G97" s="122">
        <v>2187161</v>
      </c>
      <c r="H97" s="123" t="s">
        <v>121</v>
      </c>
      <c r="I97" s="124">
        <v>36494</v>
      </c>
      <c r="J97" s="122">
        <f t="shared" si="58"/>
        <v>40.999315537303218</v>
      </c>
      <c r="K97" s="125">
        <v>0</v>
      </c>
      <c r="L97" s="123" t="s">
        <v>49</v>
      </c>
      <c r="M97" s="119" t="s">
        <v>32</v>
      </c>
      <c r="N97" s="120" t="s">
        <v>504</v>
      </c>
      <c r="O97" s="120">
        <v>0</v>
      </c>
      <c r="P97" s="120">
        <v>0</v>
      </c>
      <c r="Q97" s="120">
        <v>0</v>
      </c>
      <c r="R97" s="120">
        <v>1</v>
      </c>
      <c r="S97" s="120">
        <v>0</v>
      </c>
      <c r="T97" s="126" t="s">
        <v>495</v>
      </c>
      <c r="U97" s="103" t="s">
        <v>504</v>
      </c>
      <c r="V97" s="103">
        <v>0</v>
      </c>
      <c r="W97" s="103">
        <v>0</v>
      </c>
      <c r="X97" s="103">
        <v>0</v>
      </c>
      <c r="Y97" s="103">
        <v>0</v>
      </c>
      <c r="Z97" s="103">
        <v>1</v>
      </c>
      <c r="AA97" s="103">
        <v>0</v>
      </c>
      <c r="AB97" s="105">
        <v>35915</v>
      </c>
      <c r="AC97" s="105">
        <v>36325</v>
      </c>
      <c r="AD97" s="106">
        <f t="shared" si="59"/>
        <v>13.470225872689939</v>
      </c>
      <c r="AE97" s="106">
        <v>0</v>
      </c>
      <c r="AF97" s="106">
        <v>0</v>
      </c>
      <c r="AG97" s="105" t="s">
        <v>387</v>
      </c>
      <c r="AH97" s="100">
        <v>1</v>
      </c>
      <c r="AI97" s="127" t="s">
        <v>327</v>
      </c>
      <c r="AJ97" s="105">
        <v>36325</v>
      </c>
      <c r="AK97" s="106">
        <f t="shared" si="60"/>
        <v>5.5523613963039011</v>
      </c>
      <c r="AL97" s="106">
        <f t="shared" si="61"/>
        <v>0</v>
      </c>
      <c r="AM97" s="106">
        <f t="shared" si="62"/>
        <v>19.022587268993838</v>
      </c>
      <c r="AN97" s="102">
        <v>5</v>
      </c>
      <c r="AO97" s="102">
        <v>0</v>
      </c>
      <c r="AP97" s="128">
        <v>36495</v>
      </c>
      <c r="AQ97" s="128">
        <v>36508</v>
      </c>
      <c r="AR97" s="129">
        <f t="shared" si="63"/>
        <v>1.8571428571428572</v>
      </c>
      <c r="AS97" s="109">
        <v>10</v>
      </c>
      <c r="AT97" s="109">
        <v>5</v>
      </c>
      <c r="AU97" s="109">
        <f t="shared" si="78"/>
        <v>50</v>
      </c>
      <c r="AV97" s="109">
        <v>1</v>
      </c>
      <c r="AW97" s="109">
        <v>0</v>
      </c>
      <c r="AX97" s="109">
        <v>0</v>
      </c>
      <c r="AY97" s="109">
        <v>0</v>
      </c>
      <c r="AZ97" s="109">
        <v>0</v>
      </c>
      <c r="BA97" s="109">
        <v>0</v>
      </c>
      <c r="BB97" s="109">
        <v>0</v>
      </c>
      <c r="BC97" s="109">
        <v>1</v>
      </c>
      <c r="BD97" s="125">
        <v>1</v>
      </c>
      <c r="BE97" s="131">
        <v>36645</v>
      </c>
      <c r="BF97" s="124"/>
      <c r="BG97" s="124">
        <f t="shared" si="70"/>
        <v>36645</v>
      </c>
      <c r="BH97" s="124"/>
      <c r="BI97" s="102" t="s">
        <v>82</v>
      </c>
      <c r="BJ97" s="100">
        <f t="shared" si="64"/>
        <v>4.9609856262833674</v>
      </c>
      <c r="BK97" s="100">
        <f t="shared" si="65"/>
        <v>151</v>
      </c>
      <c r="BL97" s="100">
        <v>0</v>
      </c>
      <c r="BM97" s="110"/>
      <c r="BN97" s="100"/>
      <c r="BO97" s="100">
        <f t="shared" si="79"/>
        <v>4.9609856262833674</v>
      </c>
      <c r="BP97" s="100">
        <f t="shared" si="66"/>
        <v>151</v>
      </c>
      <c r="BQ97" s="100">
        <v>1</v>
      </c>
      <c r="BR97" s="110">
        <v>36594</v>
      </c>
      <c r="BS97" s="106">
        <f t="shared" si="71"/>
        <v>3.2854209445585214</v>
      </c>
      <c r="BT97" s="100">
        <f t="shared" si="67"/>
        <v>100</v>
      </c>
      <c r="BU97" s="100">
        <f t="shared" si="80"/>
        <v>1</v>
      </c>
      <c r="BV97" s="100"/>
      <c r="BW97" s="100"/>
      <c r="BX97" s="110">
        <f t="shared" si="73"/>
        <v>36594</v>
      </c>
      <c r="BY97" s="100">
        <f t="shared" si="72"/>
        <v>3.2854209445585214</v>
      </c>
      <c r="BZ97" s="100">
        <f t="shared" si="77"/>
        <v>100</v>
      </c>
      <c r="CA97" s="100">
        <f t="shared" si="81"/>
        <v>1</v>
      </c>
      <c r="CB97" s="110">
        <f t="shared" si="74"/>
        <v>36594</v>
      </c>
      <c r="CC97" s="100">
        <f t="shared" si="75"/>
        <v>3.2854209445585214</v>
      </c>
      <c r="CD97" s="100">
        <f t="shared" si="76"/>
        <v>100</v>
      </c>
      <c r="CE97" s="132" t="s">
        <v>87</v>
      </c>
      <c r="CF97" s="126" t="s">
        <v>87</v>
      </c>
      <c r="CG97" s="100">
        <v>1</v>
      </c>
      <c r="CH97" s="115">
        <f>7.16+0.2+0.39+0.37+0.84</f>
        <v>8.9599999999999991</v>
      </c>
      <c r="CI97" s="126" t="s">
        <v>38</v>
      </c>
      <c r="CJ97" s="126" t="s">
        <v>38</v>
      </c>
      <c r="CK97" s="126" t="s">
        <v>38</v>
      </c>
      <c r="CL97" s="126"/>
      <c r="CM97" s="126" t="s">
        <v>408</v>
      </c>
      <c r="CN97" s="110"/>
      <c r="CO97" s="100">
        <v>0</v>
      </c>
      <c r="CP97" s="110"/>
      <c r="CQ97" s="110" t="s">
        <v>408</v>
      </c>
      <c r="CR97" s="126"/>
    </row>
    <row r="98" spans="1:96" ht="25.5">
      <c r="A98" s="119" t="s">
        <v>172</v>
      </c>
      <c r="B98" s="119" t="s">
        <v>193</v>
      </c>
      <c r="C98" s="120">
        <v>72</v>
      </c>
      <c r="D98" s="96">
        <v>96</v>
      </c>
      <c r="E98" s="120">
        <v>9700</v>
      </c>
      <c r="F98" s="121">
        <v>16104</v>
      </c>
      <c r="G98" s="122">
        <v>2185378</v>
      </c>
      <c r="H98" s="123" t="s">
        <v>121</v>
      </c>
      <c r="I98" s="124">
        <v>36511</v>
      </c>
      <c r="J98" s="122">
        <f t="shared" ref="J98:J123" si="82">(I98-F98)/365.25</f>
        <v>55.871321013004788</v>
      </c>
      <c r="K98" s="125">
        <v>1</v>
      </c>
      <c r="L98" s="123" t="s">
        <v>49</v>
      </c>
      <c r="M98" s="119" t="s">
        <v>122</v>
      </c>
      <c r="N98" s="120" t="s">
        <v>403</v>
      </c>
      <c r="O98" s="120">
        <v>0</v>
      </c>
      <c r="P98" s="120">
        <v>0</v>
      </c>
      <c r="Q98" s="120">
        <v>1</v>
      </c>
      <c r="R98" s="120">
        <v>0</v>
      </c>
      <c r="S98" s="120">
        <v>0</v>
      </c>
      <c r="T98" s="126" t="s">
        <v>39</v>
      </c>
      <c r="U98" s="103" t="s">
        <v>402</v>
      </c>
      <c r="V98" s="103">
        <v>1</v>
      </c>
      <c r="W98" s="103">
        <v>0</v>
      </c>
      <c r="X98" s="103">
        <v>0</v>
      </c>
      <c r="Y98" s="103">
        <v>0</v>
      </c>
      <c r="Z98" s="103">
        <v>0</v>
      </c>
      <c r="AA98" s="103">
        <v>0</v>
      </c>
      <c r="AB98" s="105">
        <v>35705</v>
      </c>
      <c r="AC98" s="105">
        <v>36052</v>
      </c>
      <c r="AD98" s="106">
        <f t="shared" ref="AD98:AD123" si="83">(AC98-AB98)/365.25*12</f>
        <v>11.400410677618071</v>
      </c>
      <c r="AE98" s="106">
        <v>0</v>
      </c>
      <c r="AF98" s="106">
        <v>0</v>
      </c>
      <c r="AG98" s="105" t="s">
        <v>387</v>
      </c>
      <c r="AH98" s="100">
        <v>1</v>
      </c>
      <c r="AI98" s="127" t="s">
        <v>270</v>
      </c>
      <c r="AJ98" s="105">
        <v>36052</v>
      </c>
      <c r="AK98" s="106">
        <f t="shared" ref="AK98:AK123" si="84">(I98-AJ98)*12/365.25</f>
        <v>15.080082135523615</v>
      </c>
      <c r="AL98" s="106">
        <f t="shared" ref="AL98:AL123" si="85">(AJ98-AC98)/365.25*12</f>
        <v>0</v>
      </c>
      <c r="AM98" s="106">
        <f t="shared" ref="AM98:AM123" si="86">(I98-AB98)*12/365.25</f>
        <v>26.480492813141684</v>
      </c>
      <c r="AN98" s="102">
        <v>2</v>
      </c>
      <c r="AO98" s="102">
        <v>0</v>
      </c>
      <c r="AP98" s="128">
        <v>36510</v>
      </c>
      <c r="AQ98" s="128">
        <v>36524</v>
      </c>
      <c r="AR98" s="129">
        <f t="shared" ref="AR98:AR123" si="87">(AQ98-AP98)/7</f>
        <v>2</v>
      </c>
      <c r="AS98" s="109">
        <v>9</v>
      </c>
      <c r="AT98" s="109">
        <v>5.3333333329999997</v>
      </c>
      <c r="AU98" s="109">
        <f t="shared" si="78"/>
        <v>47.999999996999996</v>
      </c>
      <c r="AV98" s="109">
        <v>0</v>
      </c>
      <c r="AW98" s="109">
        <v>0</v>
      </c>
      <c r="AX98" s="109">
        <v>1</v>
      </c>
      <c r="AY98" s="109">
        <v>0</v>
      </c>
      <c r="AZ98" s="109">
        <v>0</v>
      </c>
      <c r="BA98" s="109">
        <v>0</v>
      </c>
      <c r="BB98" s="109">
        <v>0</v>
      </c>
      <c r="BC98" s="109">
        <v>1</v>
      </c>
      <c r="BD98" s="125">
        <v>1</v>
      </c>
      <c r="BE98" s="131">
        <v>37239</v>
      </c>
      <c r="BF98" s="124"/>
      <c r="BG98" s="124">
        <f t="shared" si="70"/>
        <v>37239</v>
      </c>
      <c r="BH98" s="124"/>
      <c r="BI98" s="102" t="s">
        <v>82</v>
      </c>
      <c r="BJ98" s="100">
        <f t="shared" ref="BJ98:BJ123" si="88">(BG98-I98)/365.25*12</f>
        <v>23.917864476386036</v>
      </c>
      <c r="BK98" s="100">
        <f t="shared" ref="BK98:BK123" si="89">BJ98*365.25/12</f>
        <v>728</v>
      </c>
      <c r="BL98" s="100">
        <v>0</v>
      </c>
      <c r="BM98" s="110"/>
      <c r="BN98" s="100"/>
      <c r="BO98" s="100">
        <f t="shared" si="79"/>
        <v>23.917864476386036</v>
      </c>
      <c r="BP98" s="100">
        <f t="shared" ref="BP98:BP123" si="90">BO98*365.25/12</f>
        <v>728</v>
      </c>
      <c r="BQ98" s="100">
        <v>1</v>
      </c>
      <c r="BR98" s="110">
        <v>37225</v>
      </c>
      <c r="BS98" s="106">
        <f t="shared" si="71"/>
        <v>23.457905544147845</v>
      </c>
      <c r="BT98" s="100">
        <f t="shared" ref="BT98:BT123" si="91">BS98*365.25/12</f>
        <v>714</v>
      </c>
      <c r="BU98" s="100">
        <f t="shared" si="80"/>
        <v>1</v>
      </c>
      <c r="BV98" s="100"/>
      <c r="BW98" s="100"/>
      <c r="BX98" s="110">
        <f t="shared" si="73"/>
        <v>37225</v>
      </c>
      <c r="BY98" s="100">
        <f t="shared" si="72"/>
        <v>23.457905544147845</v>
      </c>
      <c r="BZ98" s="100">
        <f t="shared" si="77"/>
        <v>714</v>
      </c>
      <c r="CA98" s="100">
        <f t="shared" si="81"/>
        <v>1</v>
      </c>
      <c r="CB98" s="110">
        <f t="shared" si="74"/>
        <v>37225</v>
      </c>
      <c r="CC98" s="100">
        <f t="shared" si="75"/>
        <v>23.457905544147845</v>
      </c>
      <c r="CD98" s="100">
        <f t="shared" si="76"/>
        <v>714</v>
      </c>
      <c r="CE98" s="132" t="s">
        <v>38</v>
      </c>
      <c r="CF98" s="126" t="s">
        <v>38</v>
      </c>
      <c r="CG98" s="100">
        <v>3</v>
      </c>
      <c r="CH98" s="115">
        <f>43.05+1.9</f>
        <v>44.949999999999996</v>
      </c>
      <c r="CI98" s="126" t="s">
        <v>40</v>
      </c>
      <c r="CJ98" s="126" t="s">
        <v>38</v>
      </c>
      <c r="CK98" s="126" t="s">
        <v>363</v>
      </c>
      <c r="CL98" s="126"/>
      <c r="CM98" s="126" t="s">
        <v>408</v>
      </c>
      <c r="CN98" s="110">
        <v>36732</v>
      </c>
      <c r="CO98" s="100">
        <v>1</v>
      </c>
      <c r="CP98" s="100">
        <f>(CN98-AP98)*12/365.25</f>
        <v>7.2936344969199176</v>
      </c>
      <c r="CQ98" s="100" t="s">
        <v>389</v>
      </c>
      <c r="CR98" s="126"/>
    </row>
    <row r="99" spans="1:96" s="113" customFormat="1" ht="25.5">
      <c r="A99" s="119" t="s">
        <v>111</v>
      </c>
      <c r="B99" s="119" t="s">
        <v>308</v>
      </c>
      <c r="C99" s="120">
        <v>75</v>
      </c>
      <c r="D99" s="96">
        <v>97</v>
      </c>
      <c r="E99" s="120">
        <v>9700</v>
      </c>
      <c r="F99" s="121">
        <v>14840</v>
      </c>
      <c r="G99" s="122">
        <v>2197640</v>
      </c>
      <c r="H99" s="123" t="s">
        <v>121</v>
      </c>
      <c r="I99" s="124">
        <v>36538</v>
      </c>
      <c r="J99" s="122">
        <f t="shared" si="82"/>
        <v>59.405886379192332</v>
      </c>
      <c r="K99" s="125">
        <v>0</v>
      </c>
      <c r="L99" s="123" t="s">
        <v>49</v>
      </c>
      <c r="M99" s="119" t="s">
        <v>327</v>
      </c>
      <c r="N99" s="120" t="s">
        <v>510</v>
      </c>
      <c r="O99" s="120">
        <v>0</v>
      </c>
      <c r="P99" s="120">
        <v>1</v>
      </c>
      <c r="Q99" s="120">
        <v>0</v>
      </c>
      <c r="R99" s="120">
        <v>0</v>
      </c>
      <c r="S99" s="120">
        <v>0</v>
      </c>
      <c r="T99" s="126" t="s">
        <v>155</v>
      </c>
      <c r="U99" s="103" t="s">
        <v>402</v>
      </c>
      <c r="V99" s="103">
        <v>1</v>
      </c>
      <c r="W99" s="103">
        <v>0</v>
      </c>
      <c r="X99" s="103">
        <v>0</v>
      </c>
      <c r="Y99" s="103">
        <v>0</v>
      </c>
      <c r="Z99" s="103">
        <v>0</v>
      </c>
      <c r="AA99" s="103">
        <v>0</v>
      </c>
      <c r="AB99" s="105">
        <v>36341</v>
      </c>
      <c r="AC99" s="105">
        <v>36341</v>
      </c>
      <c r="AD99" s="106">
        <f t="shared" si="83"/>
        <v>0</v>
      </c>
      <c r="AE99" s="106">
        <v>0</v>
      </c>
      <c r="AF99" s="106">
        <v>1</v>
      </c>
      <c r="AG99" s="105" t="s">
        <v>389</v>
      </c>
      <c r="AH99" s="100">
        <v>1</v>
      </c>
      <c r="AI99" s="127" t="s">
        <v>271</v>
      </c>
      <c r="AJ99" s="105">
        <v>36341</v>
      </c>
      <c r="AK99" s="106">
        <f t="shared" si="84"/>
        <v>6.4722792607802875</v>
      </c>
      <c r="AL99" s="106">
        <f t="shared" si="85"/>
        <v>0</v>
      </c>
      <c r="AM99" s="106">
        <f t="shared" si="86"/>
        <v>6.4722792607802875</v>
      </c>
      <c r="AN99" s="102">
        <v>3</v>
      </c>
      <c r="AO99" s="102">
        <v>0</v>
      </c>
      <c r="AP99" s="128">
        <v>36551</v>
      </c>
      <c r="AQ99" s="128">
        <v>36573</v>
      </c>
      <c r="AR99" s="129">
        <f t="shared" si="87"/>
        <v>3.1428571428571428</v>
      </c>
      <c r="AS99" s="109">
        <v>10</v>
      </c>
      <c r="AT99" s="109">
        <v>5</v>
      </c>
      <c r="AU99" s="109">
        <f t="shared" si="78"/>
        <v>50</v>
      </c>
      <c r="AV99" s="109">
        <v>1</v>
      </c>
      <c r="AW99" s="109">
        <v>1</v>
      </c>
      <c r="AX99" s="109">
        <v>0</v>
      </c>
      <c r="AY99" s="109">
        <v>0</v>
      </c>
      <c r="AZ99" s="109">
        <v>0</v>
      </c>
      <c r="BA99" s="109">
        <v>0</v>
      </c>
      <c r="BB99" s="109">
        <v>0</v>
      </c>
      <c r="BC99" s="109">
        <v>2</v>
      </c>
      <c r="BD99" s="125">
        <v>1</v>
      </c>
      <c r="BE99" s="131">
        <v>36771</v>
      </c>
      <c r="BF99" s="124"/>
      <c r="BG99" s="124">
        <f t="shared" si="70"/>
        <v>36771</v>
      </c>
      <c r="BH99" s="124"/>
      <c r="BI99" s="102" t="s">
        <v>82</v>
      </c>
      <c r="BJ99" s="100">
        <f t="shared" si="88"/>
        <v>7.655030800821355</v>
      </c>
      <c r="BK99" s="100">
        <f t="shared" si="89"/>
        <v>233</v>
      </c>
      <c r="BL99" s="100">
        <v>0</v>
      </c>
      <c r="BM99" s="110"/>
      <c r="BN99" s="100"/>
      <c r="BO99" s="100">
        <f t="shared" si="79"/>
        <v>7.655030800821355</v>
      </c>
      <c r="BP99" s="100">
        <f t="shared" si="90"/>
        <v>233</v>
      </c>
      <c r="BQ99" s="100">
        <v>1</v>
      </c>
      <c r="BR99" s="110">
        <v>36656</v>
      </c>
      <c r="BS99" s="106">
        <f t="shared" si="71"/>
        <v>3.8767967145790556</v>
      </c>
      <c r="BT99" s="100">
        <f t="shared" si="91"/>
        <v>118</v>
      </c>
      <c r="BU99" s="100">
        <f t="shared" si="80"/>
        <v>1</v>
      </c>
      <c r="BV99" s="100"/>
      <c r="BW99" s="100"/>
      <c r="BX99" s="110">
        <f t="shared" si="73"/>
        <v>36656</v>
      </c>
      <c r="BY99" s="100">
        <f t="shared" si="72"/>
        <v>3.8767967145790556</v>
      </c>
      <c r="BZ99" s="100">
        <f t="shared" si="77"/>
        <v>118</v>
      </c>
      <c r="CA99" s="100">
        <f t="shared" si="81"/>
        <v>1</v>
      </c>
      <c r="CB99" s="110">
        <f t="shared" si="74"/>
        <v>36656</v>
      </c>
      <c r="CC99" s="100">
        <f t="shared" si="75"/>
        <v>3.8767967145790556</v>
      </c>
      <c r="CD99" s="100">
        <f t="shared" si="76"/>
        <v>118</v>
      </c>
      <c r="CE99" s="132" t="s">
        <v>38</v>
      </c>
      <c r="CF99" s="126" t="s">
        <v>38</v>
      </c>
      <c r="CG99" s="100">
        <v>2</v>
      </c>
      <c r="CH99" s="115">
        <f>11.48+0.93+1.12</f>
        <v>13.530000000000001</v>
      </c>
      <c r="CI99" s="126" t="s">
        <v>201</v>
      </c>
      <c r="CJ99" s="126" t="s">
        <v>177</v>
      </c>
      <c r="CK99" s="126" t="s">
        <v>364</v>
      </c>
      <c r="CL99" s="126"/>
      <c r="CM99" s="126" t="s">
        <v>408</v>
      </c>
      <c r="CN99" s="110"/>
      <c r="CO99" s="100">
        <v>0</v>
      </c>
      <c r="CP99" s="110"/>
      <c r="CQ99" s="110" t="s">
        <v>408</v>
      </c>
      <c r="CR99" s="126"/>
    </row>
    <row r="100" spans="1:96" ht="25.5">
      <c r="A100" s="119" t="s">
        <v>192</v>
      </c>
      <c r="B100" s="119" t="s">
        <v>193</v>
      </c>
      <c r="C100" s="120">
        <v>78</v>
      </c>
      <c r="D100" s="96">
        <v>98</v>
      </c>
      <c r="E100" s="120">
        <v>9700</v>
      </c>
      <c r="F100" s="121">
        <v>14695</v>
      </c>
      <c r="G100" s="122">
        <v>2201965</v>
      </c>
      <c r="H100" s="123" t="s">
        <v>121</v>
      </c>
      <c r="I100" s="124">
        <v>36558</v>
      </c>
      <c r="J100" s="122">
        <f t="shared" si="82"/>
        <v>59.857631759069129</v>
      </c>
      <c r="K100" s="125">
        <v>1</v>
      </c>
      <c r="L100" s="123" t="s">
        <v>49</v>
      </c>
      <c r="M100" s="119" t="s">
        <v>70</v>
      </c>
      <c r="N100" s="120" t="s">
        <v>504</v>
      </c>
      <c r="O100" s="120">
        <v>0</v>
      </c>
      <c r="P100" s="120">
        <v>0</v>
      </c>
      <c r="Q100" s="120">
        <v>0</v>
      </c>
      <c r="R100" s="120">
        <v>1</v>
      </c>
      <c r="S100" s="120">
        <v>0</v>
      </c>
      <c r="T100" s="126" t="s">
        <v>125</v>
      </c>
      <c r="U100" s="103" t="s">
        <v>504</v>
      </c>
      <c r="V100" s="103">
        <v>0</v>
      </c>
      <c r="W100" s="103">
        <v>0</v>
      </c>
      <c r="X100" s="103">
        <v>0</v>
      </c>
      <c r="Y100" s="103">
        <v>0</v>
      </c>
      <c r="Z100" s="103">
        <v>1</v>
      </c>
      <c r="AA100" s="103">
        <v>0</v>
      </c>
      <c r="AB100" s="105">
        <v>35541</v>
      </c>
      <c r="AC100" s="105">
        <v>35684</v>
      </c>
      <c r="AD100" s="106">
        <f t="shared" si="83"/>
        <v>4.6981519507186853</v>
      </c>
      <c r="AE100" s="106">
        <v>1</v>
      </c>
      <c r="AF100" s="106">
        <v>0</v>
      </c>
      <c r="AG100" s="105" t="s">
        <v>390</v>
      </c>
      <c r="AH100" s="100">
        <v>1</v>
      </c>
      <c r="AI100" s="127" t="s">
        <v>327</v>
      </c>
      <c r="AJ100" s="105">
        <v>36372</v>
      </c>
      <c r="AK100" s="106">
        <f t="shared" si="84"/>
        <v>6.1108829568788501</v>
      </c>
      <c r="AL100" s="106">
        <f t="shared" si="85"/>
        <v>22.603696098562629</v>
      </c>
      <c r="AM100" s="106">
        <f t="shared" si="86"/>
        <v>33.412731006160165</v>
      </c>
      <c r="AN100" s="102">
        <v>2</v>
      </c>
      <c r="AO100" s="102">
        <v>0</v>
      </c>
      <c r="AP100" s="128">
        <v>36572</v>
      </c>
      <c r="AQ100" s="128">
        <v>36587</v>
      </c>
      <c r="AR100" s="129">
        <f t="shared" si="87"/>
        <v>2.1428571428571428</v>
      </c>
      <c r="AS100" s="109">
        <v>10</v>
      </c>
      <c r="AT100" s="109">
        <v>4</v>
      </c>
      <c r="AU100" s="109">
        <f t="shared" si="78"/>
        <v>40</v>
      </c>
      <c r="AV100" s="109">
        <v>1</v>
      </c>
      <c r="AW100" s="109">
        <v>1</v>
      </c>
      <c r="AX100" s="109">
        <v>0</v>
      </c>
      <c r="AY100" s="109">
        <v>0</v>
      </c>
      <c r="AZ100" s="109">
        <v>0</v>
      </c>
      <c r="BA100" s="109">
        <v>0</v>
      </c>
      <c r="BB100" s="109">
        <v>0</v>
      </c>
      <c r="BC100" s="109">
        <v>2</v>
      </c>
      <c r="BD100" s="125">
        <v>1</v>
      </c>
      <c r="BE100" s="131">
        <v>37322</v>
      </c>
      <c r="BF100" s="124"/>
      <c r="BG100" s="124">
        <f t="shared" si="70"/>
        <v>37322</v>
      </c>
      <c r="BH100" s="124"/>
      <c r="BI100" s="102"/>
      <c r="BJ100" s="100">
        <f t="shared" si="88"/>
        <v>25.100616016427107</v>
      </c>
      <c r="BK100" s="100">
        <f t="shared" si="89"/>
        <v>764.00000000000011</v>
      </c>
      <c r="BL100" s="100">
        <v>0</v>
      </c>
      <c r="BM100" s="110"/>
      <c r="BN100" s="100"/>
      <c r="BO100" s="100">
        <f t="shared" si="79"/>
        <v>25.100616016427107</v>
      </c>
      <c r="BP100" s="100">
        <f t="shared" si="90"/>
        <v>764.00000000000011</v>
      </c>
      <c r="BQ100" s="100">
        <v>1</v>
      </c>
      <c r="BR100" s="110">
        <v>36830</v>
      </c>
      <c r="BS100" s="106">
        <f t="shared" si="71"/>
        <v>8.9363449691991779</v>
      </c>
      <c r="BT100" s="100">
        <f t="shared" si="91"/>
        <v>271.99999999999994</v>
      </c>
      <c r="BU100" s="100">
        <f t="shared" si="80"/>
        <v>1</v>
      </c>
      <c r="BV100" s="100"/>
      <c r="BW100" s="100"/>
      <c r="BX100" s="110">
        <f t="shared" si="73"/>
        <v>36830</v>
      </c>
      <c r="BY100" s="100">
        <f t="shared" si="72"/>
        <v>8.9363449691991779</v>
      </c>
      <c r="BZ100" s="100">
        <f t="shared" si="77"/>
        <v>271.99999999999994</v>
      </c>
      <c r="CA100" s="100">
        <f t="shared" si="81"/>
        <v>1</v>
      </c>
      <c r="CB100" s="110">
        <f t="shared" si="74"/>
        <v>36830</v>
      </c>
      <c r="CC100" s="100">
        <f t="shared" si="75"/>
        <v>8.9363449691991779</v>
      </c>
      <c r="CD100" s="100">
        <f t="shared" si="76"/>
        <v>271.99999999999994</v>
      </c>
      <c r="CE100" s="132"/>
      <c r="CF100" s="126"/>
      <c r="CG100" s="100">
        <v>3</v>
      </c>
      <c r="CH100" s="115">
        <f>26.87+9.18</f>
        <v>36.049999999999997</v>
      </c>
      <c r="CI100" s="126"/>
      <c r="CJ100" s="126" t="s">
        <v>393</v>
      </c>
      <c r="CK100" s="126" t="s">
        <v>363</v>
      </c>
      <c r="CL100" s="126"/>
      <c r="CM100" s="126" t="s">
        <v>408</v>
      </c>
      <c r="CN100" s="110">
        <v>36705</v>
      </c>
      <c r="CO100" s="100">
        <v>1</v>
      </c>
      <c r="CP100" s="100">
        <f>(CN100-AP100)*12/365.25</f>
        <v>4.3696098562628336</v>
      </c>
      <c r="CQ100" s="100" t="s">
        <v>389</v>
      </c>
      <c r="CR100" s="126" t="s">
        <v>364</v>
      </c>
    </row>
    <row r="101" spans="1:96" s="113" customFormat="1" ht="38.25">
      <c r="A101" s="119" t="s">
        <v>196</v>
      </c>
      <c r="B101" s="119" t="s">
        <v>275</v>
      </c>
      <c r="C101" s="120">
        <v>80</v>
      </c>
      <c r="D101" s="96">
        <v>99</v>
      </c>
      <c r="E101" s="120">
        <v>9700</v>
      </c>
      <c r="F101" s="121">
        <v>8889</v>
      </c>
      <c r="G101" s="122">
        <v>906293</v>
      </c>
      <c r="H101" s="123" t="s">
        <v>121</v>
      </c>
      <c r="I101" s="124">
        <v>36561</v>
      </c>
      <c r="J101" s="122">
        <f t="shared" si="82"/>
        <v>75.761806981519513</v>
      </c>
      <c r="K101" s="125">
        <v>1</v>
      </c>
      <c r="L101" s="123" t="s">
        <v>49</v>
      </c>
      <c r="M101" s="119" t="s">
        <v>126</v>
      </c>
      <c r="N101" s="120" t="s">
        <v>511</v>
      </c>
      <c r="O101" s="120">
        <v>0</v>
      </c>
      <c r="P101" s="120">
        <v>0</v>
      </c>
      <c r="Q101" s="120">
        <v>0</v>
      </c>
      <c r="R101" s="120">
        <v>0</v>
      </c>
      <c r="S101" s="120">
        <v>1</v>
      </c>
      <c r="T101" s="126" t="s">
        <v>304</v>
      </c>
      <c r="U101" s="103" t="s">
        <v>505</v>
      </c>
      <c r="V101" s="103">
        <v>0</v>
      </c>
      <c r="W101" s="103">
        <v>0</v>
      </c>
      <c r="X101" s="103">
        <v>0</v>
      </c>
      <c r="Y101" s="103">
        <v>0</v>
      </c>
      <c r="Z101" s="103">
        <v>0</v>
      </c>
      <c r="AA101" s="103">
        <v>1</v>
      </c>
      <c r="AB101" s="105">
        <v>36325</v>
      </c>
      <c r="AC101" s="105">
        <v>36540</v>
      </c>
      <c r="AD101" s="106">
        <f t="shared" si="83"/>
        <v>7.0636550308008221</v>
      </c>
      <c r="AE101" s="106">
        <v>0</v>
      </c>
      <c r="AF101" s="106">
        <v>0</v>
      </c>
      <c r="AG101" s="105" t="s">
        <v>391</v>
      </c>
      <c r="AH101" s="100">
        <v>0</v>
      </c>
      <c r="AI101" s="127" t="s">
        <v>270</v>
      </c>
      <c r="AJ101" s="105">
        <v>36540</v>
      </c>
      <c r="AK101" s="106">
        <f t="shared" si="84"/>
        <v>0.68993839835728954</v>
      </c>
      <c r="AL101" s="106">
        <f t="shared" si="85"/>
        <v>0</v>
      </c>
      <c r="AM101" s="106">
        <f t="shared" si="86"/>
        <v>7.7535934291581112</v>
      </c>
      <c r="AN101" s="102">
        <v>3</v>
      </c>
      <c r="AO101" s="102">
        <v>0</v>
      </c>
      <c r="AP101" s="128">
        <v>36572</v>
      </c>
      <c r="AQ101" s="128">
        <v>36585</v>
      </c>
      <c r="AR101" s="129">
        <f t="shared" si="87"/>
        <v>1.8571428571428572</v>
      </c>
      <c r="AS101" s="109">
        <v>10</v>
      </c>
      <c r="AT101" s="109">
        <v>5</v>
      </c>
      <c r="AU101" s="109">
        <f t="shared" si="78"/>
        <v>50</v>
      </c>
      <c r="AV101" s="109">
        <v>0</v>
      </c>
      <c r="AW101" s="109">
        <v>0</v>
      </c>
      <c r="AX101" s="109">
        <v>1</v>
      </c>
      <c r="AY101" s="109">
        <v>0</v>
      </c>
      <c r="AZ101" s="109">
        <v>0</v>
      </c>
      <c r="BA101" s="109">
        <v>0</v>
      </c>
      <c r="BB101" s="109">
        <v>0</v>
      </c>
      <c r="BC101" s="109">
        <v>1</v>
      </c>
      <c r="BD101" s="125">
        <v>1</v>
      </c>
      <c r="BE101" s="131">
        <v>37116</v>
      </c>
      <c r="BF101" s="124"/>
      <c r="BG101" s="124">
        <f t="shared" si="70"/>
        <v>37116</v>
      </c>
      <c r="BH101" s="124"/>
      <c r="BI101" s="102" t="s">
        <v>82</v>
      </c>
      <c r="BJ101" s="100">
        <f t="shared" si="88"/>
        <v>18.234086242299796</v>
      </c>
      <c r="BK101" s="100">
        <f t="shared" si="89"/>
        <v>555</v>
      </c>
      <c r="BL101" s="100">
        <v>1</v>
      </c>
      <c r="BM101" s="110">
        <v>36679</v>
      </c>
      <c r="BN101" s="100">
        <f>(BM101-AQ101)*12/365.25</f>
        <v>3.0882956878850103</v>
      </c>
      <c r="BO101" s="100">
        <f>(BM101-I101)*12/365.25</f>
        <v>3.8767967145790556</v>
      </c>
      <c r="BP101" s="100">
        <f t="shared" si="90"/>
        <v>118</v>
      </c>
      <c r="BQ101" s="100">
        <v>1</v>
      </c>
      <c r="BR101" s="110">
        <v>36679</v>
      </c>
      <c r="BS101" s="106">
        <f t="shared" si="71"/>
        <v>3.8767967145790556</v>
      </c>
      <c r="BT101" s="100">
        <f t="shared" si="91"/>
        <v>118</v>
      </c>
      <c r="BU101" s="100">
        <v>1</v>
      </c>
      <c r="BV101" s="100"/>
      <c r="BW101" s="100"/>
      <c r="BX101" s="110">
        <f t="shared" si="73"/>
        <v>36679</v>
      </c>
      <c r="BY101" s="100">
        <f t="shared" si="72"/>
        <v>3.8767967145790556</v>
      </c>
      <c r="BZ101" s="100">
        <f t="shared" si="77"/>
        <v>118</v>
      </c>
      <c r="CA101" s="100">
        <f t="shared" si="81"/>
        <v>1</v>
      </c>
      <c r="CB101" s="110">
        <f t="shared" si="74"/>
        <v>36679</v>
      </c>
      <c r="CC101" s="100">
        <f t="shared" si="75"/>
        <v>3.8767967145790556</v>
      </c>
      <c r="CD101" s="100">
        <f t="shared" si="76"/>
        <v>118</v>
      </c>
      <c r="CE101" s="132" t="s">
        <v>38</v>
      </c>
      <c r="CF101" s="126" t="s">
        <v>38</v>
      </c>
      <c r="CG101" s="100">
        <v>4</v>
      </c>
      <c r="CH101" s="115">
        <f>3.72+18.7+9.07</f>
        <v>31.49</v>
      </c>
      <c r="CI101" s="126" t="s">
        <v>38</v>
      </c>
      <c r="CJ101" s="126" t="s">
        <v>38</v>
      </c>
      <c r="CK101" s="126" t="s">
        <v>38</v>
      </c>
      <c r="CL101" s="126"/>
      <c r="CM101" s="126" t="s">
        <v>408</v>
      </c>
      <c r="CN101" s="110"/>
      <c r="CO101" s="100">
        <v>0</v>
      </c>
      <c r="CP101" s="110"/>
      <c r="CQ101" s="110" t="s">
        <v>408</v>
      </c>
      <c r="CR101" s="126"/>
    </row>
    <row r="102" spans="1:96" s="113" customFormat="1" ht="25.5">
      <c r="A102" s="119" t="s">
        <v>260</v>
      </c>
      <c r="B102" s="119" t="s">
        <v>261</v>
      </c>
      <c r="C102" s="120">
        <v>81</v>
      </c>
      <c r="D102" s="96">
        <v>100</v>
      </c>
      <c r="E102" s="120">
        <v>9700</v>
      </c>
      <c r="F102" s="121">
        <v>12061</v>
      </c>
      <c r="G102" s="122">
        <v>458033</v>
      </c>
      <c r="H102" s="123" t="s">
        <v>121</v>
      </c>
      <c r="I102" s="124">
        <v>36511</v>
      </c>
      <c r="J102" s="122">
        <f t="shared" si="82"/>
        <v>66.940451745379875</v>
      </c>
      <c r="K102" s="125">
        <v>0</v>
      </c>
      <c r="L102" s="123" t="s">
        <v>49</v>
      </c>
      <c r="M102" s="119" t="s">
        <v>64</v>
      </c>
      <c r="N102" s="120" t="s">
        <v>107</v>
      </c>
      <c r="O102" s="120">
        <v>1</v>
      </c>
      <c r="P102" s="120">
        <v>0</v>
      </c>
      <c r="Q102" s="120">
        <v>0</v>
      </c>
      <c r="R102" s="120">
        <v>0</v>
      </c>
      <c r="S102" s="120">
        <v>0</v>
      </c>
      <c r="T102" s="126" t="s">
        <v>155</v>
      </c>
      <c r="U102" s="103" t="s">
        <v>402</v>
      </c>
      <c r="V102" s="103">
        <v>1</v>
      </c>
      <c r="W102" s="103">
        <v>0</v>
      </c>
      <c r="X102" s="103">
        <v>0</v>
      </c>
      <c r="Y102" s="103">
        <v>0</v>
      </c>
      <c r="Z102" s="103">
        <v>0</v>
      </c>
      <c r="AA102" s="103">
        <v>0</v>
      </c>
      <c r="AB102" s="105">
        <v>36311</v>
      </c>
      <c r="AC102" s="105">
        <v>36311</v>
      </c>
      <c r="AD102" s="106">
        <f t="shared" si="83"/>
        <v>0</v>
      </c>
      <c r="AE102" s="106">
        <v>0</v>
      </c>
      <c r="AF102" s="106">
        <v>0</v>
      </c>
      <c r="AG102" s="105" t="s">
        <v>389</v>
      </c>
      <c r="AH102" s="100">
        <v>1</v>
      </c>
      <c r="AI102" s="127" t="s">
        <v>270</v>
      </c>
      <c r="AJ102" s="105">
        <v>36311</v>
      </c>
      <c r="AK102" s="106">
        <f t="shared" si="84"/>
        <v>6.5708418891170428</v>
      </c>
      <c r="AL102" s="106">
        <f t="shared" si="85"/>
        <v>0</v>
      </c>
      <c r="AM102" s="106">
        <f t="shared" si="86"/>
        <v>6.5708418891170428</v>
      </c>
      <c r="AN102" s="102">
        <v>3</v>
      </c>
      <c r="AO102" s="102">
        <v>0</v>
      </c>
      <c r="AP102" s="128">
        <v>36515</v>
      </c>
      <c r="AQ102" s="128">
        <v>36532</v>
      </c>
      <c r="AR102" s="129">
        <f t="shared" si="87"/>
        <v>2.4285714285714284</v>
      </c>
      <c r="AS102" s="109">
        <v>10</v>
      </c>
      <c r="AT102" s="109">
        <v>5</v>
      </c>
      <c r="AU102" s="109">
        <f t="shared" si="78"/>
        <v>50</v>
      </c>
      <c r="AV102" s="109">
        <v>0</v>
      </c>
      <c r="AW102" s="109">
        <v>0</v>
      </c>
      <c r="AX102" s="109">
        <v>1</v>
      </c>
      <c r="AY102" s="109">
        <v>0</v>
      </c>
      <c r="AZ102" s="109">
        <v>0</v>
      </c>
      <c r="BA102" s="109">
        <v>0</v>
      </c>
      <c r="BB102" s="109">
        <v>0</v>
      </c>
      <c r="BC102" s="109">
        <v>1</v>
      </c>
      <c r="BD102" s="125">
        <v>1</v>
      </c>
      <c r="BE102" s="131">
        <v>36857</v>
      </c>
      <c r="BF102" s="124"/>
      <c r="BG102" s="124">
        <f t="shared" si="70"/>
        <v>36857</v>
      </c>
      <c r="BH102" s="124"/>
      <c r="BI102" s="102" t="s">
        <v>82</v>
      </c>
      <c r="BJ102" s="100">
        <f t="shared" si="88"/>
        <v>11.367556468172484</v>
      </c>
      <c r="BK102" s="100">
        <f t="shared" si="89"/>
        <v>346</v>
      </c>
      <c r="BL102" s="100">
        <v>1</v>
      </c>
      <c r="BM102" s="110">
        <v>36628</v>
      </c>
      <c r="BN102" s="100">
        <f>(BM102-AQ102)*12/365.25</f>
        <v>3.1540041067761808</v>
      </c>
      <c r="BO102" s="100">
        <f>(BM102-I102)*12/365.25</f>
        <v>3.8439425051334704</v>
      </c>
      <c r="BP102" s="100">
        <f t="shared" si="90"/>
        <v>117</v>
      </c>
      <c r="BQ102" s="100">
        <v>1</v>
      </c>
      <c r="BR102" s="110">
        <v>36628</v>
      </c>
      <c r="BS102" s="106">
        <f t="shared" si="71"/>
        <v>3.8439425051334704</v>
      </c>
      <c r="BT102" s="100">
        <f t="shared" si="91"/>
        <v>117</v>
      </c>
      <c r="BU102" s="100">
        <v>1</v>
      </c>
      <c r="BV102" s="100"/>
      <c r="BW102" s="100"/>
      <c r="BX102" s="110">
        <f t="shared" si="73"/>
        <v>36628</v>
      </c>
      <c r="BY102" s="100">
        <f t="shared" si="72"/>
        <v>3.8439425051334704</v>
      </c>
      <c r="BZ102" s="100">
        <f t="shared" si="77"/>
        <v>117</v>
      </c>
      <c r="CA102" s="100">
        <f t="shared" si="81"/>
        <v>1</v>
      </c>
      <c r="CB102" s="110">
        <f t="shared" si="74"/>
        <v>36628</v>
      </c>
      <c r="CC102" s="100">
        <f t="shared" si="75"/>
        <v>3.8439425051334704</v>
      </c>
      <c r="CD102" s="100">
        <f t="shared" si="76"/>
        <v>117</v>
      </c>
      <c r="CE102" s="132" t="s">
        <v>38</v>
      </c>
      <c r="CF102" s="126" t="s">
        <v>38</v>
      </c>
      <c r="CG102" s="100">
        <v>4</v>
      </c>
      <c r="CH102" s="115">
        <f>20.35+61.34+16.02</f>
        <v>97.71</v>
      </c>
      <c r="CI102" s="126" t="s">
        <v>38</v>
      </c>
      <c r="CJ102" s="126" t="s">
        <v>38</v>
      </c>
      <c r="CK102" s="126" t="s">
        <v>38</v>
      </c>
      <c r="CL102" s="126"/>
      <c r="CM102" s="126" t="s">
        <v>408</v>
      </c>
      <c r="CN102" s="110"/>
      <c r="CO102" s="100">
        <v>0</v>
      </c>
      <c r="CP102" s="110"/>
      <c r="CQ102" s="110" t="s">
        <v>408</v>
      </c>
      <c r="CR102" s="126"/>
    </row>
    <row r="103" spans="1:96" s="113" customFormat="1" ht="38.25">
      <c r="A103" s="119" t="s">
        <v>187</v>
      </c>
      <c r="B103" s="119" t="s">
        <v>259</v>
      </c>
      <c r="C103" s="120">
        <v>82</v>
      </c>
      <c r="D103" s="96">
        <v>101</v>
      </c>
      <c r="E103" s="120">
        <v>9700</v>
      </c>
      <c r="F103" s="121">
        <v>11949</v>
      </c>
      <c r="G103" s="122">
        <v>1669444</v>
      </c>
      <c r="H103" s="123" t="s">
        <v>121</v>
      </c>
      <c r="I103" s="124">
        <v>36564</v>
      </c>
      <c r="J103" s="122">
        <f t="shared" si="82"/>
        <v>67.392197125256672</v>
      </c>
      <c r="K103" s="125">
        <v>0</v>
      </c>
      <c r="L103" s="123" t="s">
        <v>49</v>
      </c>
      <c r="M103" s="119" t="s">
        <v>327</v>
      </c>
      <c r="N103" s="120" t="s">
        <v>510</v>
      </c>
      <c r="O103" s="120">
        <v>0</v>
      </c>
      <c r="P103" s="120">
        <v>1</v>
      </c>
      <c r="Q103" s="120">
        <v>0</v>
      </c>
      <c r="R103" s="120">
        <v>0</v>
      </c>
      <c r="S103" s="120">
        <v>0</v>
      </c>
      <c r="T103" s="126" t="s">
        <v>404</v>
      </c>
      <c r="U103" s="103" t="s">
        <v>507</v>
      </c>
      <c r="V103" s="103">
        <v>0</v>
      </c>
      <c r="W103" s="103">
        <v>1</v>
      </c>
      <c r="X103" s="103">
        <v>0</v>
      </c>
      <c r="Y103" s="103">
        <v>0</v>
      </c>
      <c r="Z103" s="103">
        <v>0</v>
      </c>
      <c r="AA103" s="103">
        <v>0</v>
      </c>
      <c r="AB103" s="105">
        <v>35185</v>
      </c>
      <c r="AC103" s="105">
        <v>36264</v>
      </c>
      <c r="AD103" s="106">
        <f t="shared" si="83"/>
        <v>35.449691991786445</v>
      </c>
      <c r="AE103" s="106">
        <v>0</v>
      </c>
      <c r="AF103" s="106">
        <v>1</v>
      </c>
      <c r="AG103" s="105" t="s">
        <v>390</v>
      </c>
      <c r="AH103" s="100">
        <v>1</v>
      </c>
      <c r="AI103" s="127" t="s">
        <v>270</v>
      </c>
      <c r="AJ103" s="105">
        <v>36264</v>
      </c>
      <c r="AK103" s="106">
        <f t="shared" si="84"/>
        <v>9.8562628336755651</v>
      </c>
      <c r="AL103" s="106">
        <f t="shared" si="85"/>
        <v>0</v>
      </c>
      <c r="AM103" s="106">
        <f t="shared" si="86"/>
        <v>45.30595482546201</v>
      </c>
      <c r="AN103" s="102">
        <v>1</v>
      </c>
      <c r="AO103" s="102">
        <v>1</v>
      </c>
      <c r="AP103" s="128">
        <v>36573</v>
      </c>
      <c r="AQ103" s="128">
        <v>36586</v>
      </c>
      <c r="AR103" s="129">
        <f t="shared" si="87"/>
        <v>1.8571428571428572</v>
      </c>
      <c r="AS103" s="109">
        <v>10</v>
      </c>
      <c r="AT103" s="109">
        <v>5</v>
      </c>
      <c r="AU103" s="109">
        <f t="shared" si="78"/>
        <v>50</v>
      </c>
      <c r="AV103" s="109">
        <v>0</v>
      </c>
      <c r="AW103" s="109">
        <v>0</v>
      </c>
      <c r="AX103" s="109">
        <v>1</v>
      </c>
      <c r="AY103" s="109">
        <v>0</v>
      </c>
      <c r="AZ103" s="109">
        <v>0</v>
      </c>
      <c r="BA103" s="109">
        <v>0</v>
      </c>
      <c r="BB103" s="109">
        <v>0</v>
      </c>
      <c r="BC103" s="109">
        <v>1</v>
      </c>
      <c r="BD103" s="125">
        <v>1</v>
      </c>
      <c r="BE103" s="131">
        <v>36978</v>
      </c>
      <c r="BF103" s="124"/>
      <c r="BG103" s="124">
        <f t="shared" si="70"/>
        <v>36978</v>
      </c>
      <c r="BH103" s="124"/>
      <c r="BI103" s="102" t="s">
        <v>82</v>
      </c>
      <c r="BJ103" s="100">
        <f t="shared" si="88"/>
        <v>13.601642710472278</v>
      </c>
      <c r="BK103" s="100">
        <f t="shared" si="89"/>
        <v>414</v>
      </c>
      <c r="BL103" s="100">
        <v>1</v>
      </c>
      <c r="BM103" s="110">
        <v>36863</v>
      </c>
      <c r="BN103" s="100">
        <f>(BM103-AQ103)*12/365.25</f>
        <v>9.1006160164271055</v>
      </c>
      <c r="BO103" s="100">
        <f>(BM103-I103)*12/365.25</f>
        <v>9.8234086242299803</v>
      </c>
      <c r="BP103" s="100">
        <f t="shared" si="90"/>
        <v>299.00000000000006</v>
      </c>
      <c r="BQ103" s="100">
        <v>1</v>
      </c>
      <c r="BR103" s="110">
        <v>36863</v>
      </c>
      <c r="BS103" s="106">
        <f t="shared" si="71"/>
        <v>9.8234086242299803</v>
      </c>
      <c r="BT103" s="100">
        <f t="shared" si="91"/>
        <v>299.00000000000006</v>
      </c>
      <c r="BU103" s="100">
        <v>1</v>
      </c>
      <c r="BV103" s="100"/>
      <c r="BW103" s="100"/>
      <c r="BX103" s="110">
        <f t="shared" si="73"/>
        <v>36863</v>
      </c>
      <c r="BY103" s="100">
        <f t="shared" si="72"/>
        <v>9.8234086242299803</v>
      </c>
      <c r="BZ103" s="100">
        <f t="shared" si="77"/>
        <v>299.00000000000006</v>
      </c>
      <c r="CA103" s="100">
        <f t="shared" si="81"/>
        <v>1</v>
      </c>
      <c r="CB103" s="110">
        <f t="shared" si="74"/>
        <v>36863</v>
      </c>
      <c r="CC103" s="100">
        <f t="shared" si="75"/>
        <v>9.8234086242299803</v>
      </c>
      <c r="CD103" s="100">
        <f t="shared" si="76"/>
        <v>299.00000000000006</v>
      </c>
      <c r="CE103" s="132" t="s">
        <v>22</v>
      </c>
      <c r="CF103" s="126" t="s">
        <v>223</v>
      </c>
      <c r="CG103" s="100">
        <v>4</v>
      </c>
      <c r="CH103" s="115">
        <v>66.819999999999993</v>
      </c>
      <c r="CI103" s="126" t="s">
        <v>217</v>
      </c>
      <c r="CJ103" s="126" t="s">
        <v>41</v>
      </c>
      <c r="CK103" s="126" t="s">
        <v>363</v>
      </c>
      <c r="CL103" s="126"/>
      <c r="CM103" s="126" t="s">
        <v>408</v>
      </c>
      <c r="CN103" s="110">
        <v>36705</v>
      </c>
      <c r="CO103" s="100">
        <v>1</v>
      </c>
      <c r="CP103" s="100">
        <f>(CN103-AP103)*12/365.25</f>
        <v>4.3367556468172488</v>
      </c>
      <c r="CQ103" s="100" t="s">
        <v>389</v>
      </c>
      <c r="CR103" s="126"/>
    </row>
    <row r="104" spans="1:96" s="113" customFormat="1" ht="25.5">
      <c r="A104" s="119" t="s">
        <v>211</v>
      </c>
      <c r="B104" s="119" t="s">
        <v>297</v>
      </c>
      <c r="C104" s="120">
        <v>83</v>
      </c>
      <c r="D104" s="96">
        <v>102</v>
      </c>
      <c r="E104" s="120">
        <v>9700</v>
      </c>
      <c r="F104" s="121">
        <v>12694</v>
      </c>
      <c r="G104" s="122">
        <v>2808547</v>
      </c>
      <c r="H104" s="123" t="s">
        <v>50</v>
      </c>
      <c r="I104" s="124">
        <v>36567</v>
      </c>
      <c r="J104" s="122">
        <f t="shared" si="82"/>
        <v>65.360711841204647</v>
      </c>
      <c r="K104" s="125">
        <v>1</v>
      </c>
      <c r="L104" s="123" t="s">
        <v>335</v>
      </c>
      <c r="M104" s="119" t="s">
        <v>64</v>
      </c>
      <c r="N104" s="120" t="s">
        <v>107</v>
      </c>
      <c r="O104" s="120">
        <v>1</v>
      </c>
      <c r="P104" s="120">
        <v>0</v>
      </c>
      <c r="Q104" s="120">
        <v>0</v>
      </c>
      <c r="R104" s="120">
        <v>0</v>
      </c>
      <c r="S104" s="120">
        <v>0</v>
      </c>
      <c r="T104" s="126" t="s">
        <v>155</v>
      </c>
      <c r="U104" s="103" t="s">
        <v>402</v>
      </c>
      <c r="V104" s="103">
        <v>1</v>
      </c>
      <c r="W104" s="103">
        <v>0</v>
      </c>
      <c r="X104" s="103">
        <v>0</v>
      </c>
      <c r="Y104" s="103">
        <v>0</v>
      </c>
      <c r="Z104" s="103">
        <v>0</v>
      </c>
      <c r="AA104" s="103">
        <v>0</v>
      </c>
      <c r="AB104" s="105">
        <v>33631</v>
      </c>
      <c r="AC104" s="105">
        <v>35868</v>
      </c>
      <c r="AD104" s="106">
        <f t="shared" si="83"/>
        <v>73.494866529774129</v>
      </c>
      <c r="AE104" s="106">
        <v>1</v>
      </c>
      <c r="AF104" s="106">
        <v>0</v>
      </c>
      <c r="AG104" s="105" t="s">
        <v>387</v>
      </c>
      <c r="AH104" s="100">
        <v>1</v>
      </c>
      <c r="AI104" s="127" t="s">
        <v>270</v>
      </c>
      <c r="AJ104" s="105">
        <v>36284</v>
      </c>
      <c r="AK104" s="106">
        <f t="shared" si="84"/>
        <v>9.2977412731006162</v>
      </c>
      <c r="AL104" s="106">
        <f t="shared" si="85"/>
        <v>13.66735112936345</v>
      </c>
      <c r="AM104" s="106">
        <f t="shared" si="86"/>
        <v>96.459958932238195</v>
      </c>
      <c r="AN104" s="102">
        <v>1</v>
      </c>
      <c r="AO104" s="102">
        <v>1</v>
      </c>
      <c r="AP104" s="128">
        <v>36573</v>
      </c>
      <c r="AQ104" s="128">
        <v>36586</v>
      </c>
      <c r="AR104" s="129">
        <f t="shared" si="87"/>
        <v>1.8571428571428572</v>
      </c>
      <c r="AS104" s="109">
        <v>10</v>
      </c>
      <c r="AT104" s="109">
        <v>5</v>
      </c>
      <c r="AU104" s="109">
        <f t="shared" si="78"/>
        <v>50</v>
      </c>
      <c r="AV104" s="109">
        <v>0</v>
      </c>
      <c r="AW104" s="109">
        <v>0</v>
      </c>
      <c r="AX104" s="109">
        <v>1</v>
      </c>
      <c r="AY104" s="109">
        <v>0</v>
      </c>
      <c r="AZ104" s="109">
        <v>0</v>
      </c>
      <c r="BA104" s="109">
        <v>0</v>
      </c>
      <c r="BB104" s="109">
        <v>0</v>
      </c>
      <c r="BC104" s="109">
        <v>1</v>
      </c>
      <c r="BD104" s="125">
        <v>1</v>
      </c>
      <c r="BE104" s="131">
        <v>36831</v>
      </c>
      <c r="BF104" s="124">
        <v>36831</v>
      </c>
      <c r="BG104" s="124">
        <f t="shared" si="70"/>
        <v>36831</v>
      </c>
      <c r="BH104" s="124"/>
      <c r="BI104" s="102" t="s">
        <v>132</v>
      </c>
      <c r="BJ104" s="100">
        <f t="shared" si="88"/>
        <v>8.6735112936344976</v>
      </c>
      <c r="BK104" s="100">
        <f t="shared" si="89"/>
        <v>264.00000000000006</v>
      </c>
      <c r="BL104" s="100">
        <v>0</v>
      </c>
      <c r="BM104" s="110"/>
      <c r="BN104" s="100"/>
      <c r="BO104" s="100">
        <f>(BF104-I104)*12/365.25</f>
        <v>8.6735112936344976</v>
      </c>
      <c r="BP104" s="100">
        <f t="shared" si="90"/>
        <v>264.00000000000006</v>
      </c>
      <c r="BQ104" s="100">
        <v>0</v>
      </c>
      <c r="BR104" s="110"/>
      <c r="BS104" s="106">
        <f>(BF104-I104)*12/365.25</f>
        <v>8.6735112936344976</v>
      </c>
      <c r="BT104" s="100">
        <f t="shared" si="91"/>
        <v>264.00000000000006</v>
      </c>
      <c r="BU104" s="100">
        <f>BQ104+BL104</f>
        <v>0</v>
      </c>
      <c r="BV104" s="100"/>
      <c r="BW104" s="100"/>
      <c r="BX104" s="110"/>
      <c r="BY104" s="100">
        <f>(BF104-I104)*12/365.25</f>
        <v>8.6735112936344976</v>
      </c>
      <c r="BZ104" s="100">
        <f t="shared" si="77"/>
        <v>264.00000000000006</v>
      </c>
      <c r="CA104" s="100">
        <f t="shared" si="81"/>
        <v>0</v>
      </c>
      <c r="CB104" s="110"/>
      <c r="CC104" s="100">
        <f t="shared" ref="CC104:CC123" si="92">BY104</f>
        <v>8.6735112936344976</v>
      </c>
      <c r="CD104" s="100">
        <f t="shared" ref="CD104:CD123" si="93">BZ104</f>
        <v>264.00000000000006</v>
      </c>
      <c r="CE104" s="132" t="s">
        <v>22</v>
      </c>
      <c r="CF104" s="126" t="s">
        <v>133</v>
      </c>
      <c r="CG104" s="100">
        <v>5</v>
      </c>
      <c r="CH104" s="115">
        <v>118.6</v>
      </c>
      <c r="CI104" s="126" t="s">
        <v>38</v>
      </c>
      <c r="CJ104" s="126" t="s">
        <v>38</v>
      </c>
      <c r="CK104" s="126" t="s">
        <v>38</v>
      </c>
      <c r="CL104" s="126"/>
      <c r="CM104" s="126" t="s">
        <v>408</v>
      </c>
      <c r="CN104" s="110"/>
      <c r="CO104" s="100">
        <v>0</v>
      </c>
      <c r="CP104" s="110"/>
      <c r="CQ104" s="110" t="s">
        <v>408</v>
      </c>
      <c r="CR104" s="126"/>
    </row>
    <row r="105" spans="1:96" s="113" customFormat="1" ht="25.5">
      <c r="A105" s="119" t="s">
        <v>231</v>
      </c>
      <c r="B105" s="119" t="s">
        <v>334</v>
      </c>
      <c r="C105" s="120">
        <v>84</v>
      </c>
      <c r="D105" s="96">
        <v>103</v>
      </c>
      <c r="E105" s="120">
        <v>9700</v>
      </c>
      <c r="F105" s="121">
        <v>15214</v>
      </c>
      <c r="G105" s="122">
        <v>1504584</v>
      </c>
      <c r="H105" s="123" t="s">
        <v>121</v>
      </c>
      <c r="I105" s="124">
        <v>36559</v>
      </c>
      <c r="J105" s="122">
        <f t="shared" si="82"/>
        <v>58.439425051334702</v>
      </c>
      <c r="K105" s="125">
        <v>1</v>
      </c>
      <c r="L105" s="123" t="s">
        <v>49</v>
      </c>
      <c r="M105" s="119" t="s">
        <v>327</v>
      </c>
      <c r="N105" s="120" t="s">
        <v>510</v>
      </c>
      <c r="O105" s="120">
        <v>0</v>
      </c>
      <c r="P105" s="120">
        <v>1</v>
      </c>
      <c r="Q105" s="120">
        <v>0</v>
      </c>
      <c r="R105" s="120">
        <v>0</v>
      </c>
      <c r="S105" s="120">
        <v>0</v>
      </c>
      <c r="T105" s="126" t="s">
        <v>155</v>
      </c>
      <c r="U105" s="103" t="s">
        <v>402</v>
      </c>
      <c r="V105" s="103">
        <v>1</v>
      </c>
      <c r="W105" s="103">
        <v>0</v>
      </c>
      <c r="X105" s="103">
        <v>0</v>
      </c>
      <c r="Y105" s="103">
        <v>0</v>
      </c>
      <c r="Z105" s="103">
        <v>0</v>
      </c>
      <c r="AA105" s="103">
        <v>0</v>
      </c>
      <c r="AB105" s="105">
        <v>35915</v>
      </c>
      <c r="AC105" s="105">
        <v>36129</v>
      </c>
      <c r="AD105" s="106">
        <f t="shared" si="83"/>
        <v>7.0308008213552355</v>
      </c>
      <c r="AE105" s="106">
        <v>0</v>
      </c>
      <c r="AF105" s="106">
        <v>0</v>
      </c>
      <c r="AG105" s="105" t="s">
        <v>387</v>
      </c>
      <c r="AH105" s="100">
        <v>1</v>
      </c>
      <c r="AI105" s="127" t="s">
        <v>1</v>
      </c>
      <c r="AJ105" s="105">
        <v>36129</v>
      </c>
      <c r="AK105" s="106">
        <f t="shared" si="84"/>
        <v>14.127310061601642</v>
      </c>
      <c r="AL105" s="106">
        <f t="shared" si="85"/>
        <v>0</v>
      </c>
      <c r="AM105" s="106">
        <f t="shared" si="86"/>
        <v>21.15811088295688</v>
      </c>
      <c r="AN105" s="102">
        <v>1</v>
      </c>
      <c r="AO105" s="102">
        <v>1</v>
      </c>
      <c r="AP105" s="128">
        <v>36585</v>
      </c>
      <c r="AQ105" s="128">
        <v>36600</v>
      </c>
      <c r="AR105" s="129">
        <f t="shared" si="87"/>
        <v>2.1428571428571428</v>
      </c>
      <c r="AS105" s="109">
        <v>12</v>
      </c>
      <c r="AT105" s="109">
        <v>3</v>
      </c>
      <c r="AU105" s="109">
        <f t="shared" si="78"/>
        <v>36</v>
      </c>
      <c r="AV105" s="109">
        <v>0</v>
      </c>
      <c r="AW105" s="109">
        <v>0</v>
      </c>
      <c r="AX105" s="109">
        <v>0</v>
      </c>
      <c r="AY105" s="109">
        <v>1</v>
      </c>
      <c r="AZ105" s="109">
        <v>0</v>
      </c>
      <c r="BA105" s="109">
        <v>0</v>
      </c>
      <c r="BB105" s="109">
        <v>0</v>
      </c>
      <c r="BC105" s="109">
        <v>1</v>
      </c>
      <c r="BD105" s="125">
        <v>1</v>
      </c>
      <c r="BE105" s="131">
        <v>36749</v>
      </c>
      <c r="BF105" s="124"/>
      <c r="BG105" s="124">
        <f t="shared" si="70"/>
        <v>36749</v>
      </c>
      <c r="BH105" s="124"/>
      <c r="BI105" s="102" t="s">
        <v>82</v>
      </c>
      <c r="BJ105" s="100">
        <f t="shared" si="88"/>
        <v>6.2422997946611911</v>
      </c>
      <c r="BK105" s="100">
        <f t="shared" si="89"/>
        <v>190</v>
      </c>
      <c r="BL105" s="100">
        <v>0</v>
      </c>
      <c r="BM105" s="110"/>
      <c r="BN105" s="100"/>
      <c r="BO105" s="100">
        <f>BJ105</f>
        <v>6.2422997946611911</v>
      </c>
      <c r="BP105" s="100">
        <f t="shared" si="90"/>
        <v>190</v>
      </c>
      <c r="BQ105" s="100">
        <v>1</v>
      </c>
      <c r="BR105" s="134">
        <v>36738</v>
      </c>
      <c r="BS105" s="106">
        <f t="shared" ref="BS105:BS123" si="94">(BR105-I105)*12/365.25</f>
        <v>5.8809034907597537</v>
      </c>
      <c r="BT105" s="100">
        <f t="shared" si="91"/>
        <v>179</v>
      </c>
      <c r="BU105" s="100">
        <v>1</v>
      </c>
      <c r="BV105" s="100"/>
      <c r="BW105" s="100"/>
      <c r="BX105" s="110">
        <f>BR105</f>
        <v>36738</v>
      </c>
      <c r="BY105" s="100">
        <f t="shared" ref="BY105:BY123" si="95">(BX105-I105)*12/365.25</f>
        <v>5.8809034907597537</v>
      </c>
      <c r="BZ105" s="100">
        <f t="shared" si="77"/>
        <v>179</v>
      </c>
      <c r="CA105" s="100">
        <f t="shared" si="81"/>
        <v>1</v>
      </c>
      <c r="CB105" s="110">
        <f t="shared" ref="CB105:CB113" si="96">BX105</f>
        <v>36738</v>
      </c>
      <c r="CC105" s="100">
        <f t="shared" si="92"/>
        <v>5.8809034907597537</v>
      </c>
      <c r="CD105" s="100">
        <f t="shared" si="93"/>
        <v>179</v>
      </c>
      <c r="CE105" s="132" t="s">
        <v>38</v>
      </c>
      <c r="CF105" s="126" t="s">
        <v>38</v>
      </c>
      <c r="CG105" s="100">
        <v>4</v>
      </c>
      <c r="CH105" s="112">
        <v>80</v>
      </c>
      <c r="CI105" s="126" t="s">
        <v>38</v>
      </c>
      <c r="CJ105" s="126" t="s">
        <v>38</v>
      </c>
      <c r="CK105" s="126" t="s">
        <v>38</v>
      </c>
      <c r="CL105" s="126"/>
      <c r="CM105" s="126" t="s">
        <v>408</v>
      </c>
      <c r="CN105" s="110"/>
      <c r="CO105" s="100">
        <v>0</v>
      </c>
      <c r="CP105" s="110"/>
      <c r="CQ105" s="110" t="s">
        <v>408</v>
      </c>
      <c r="CR105" s="126"/>
    </row>
    <row r="106" spans="1:96" s="113" customFormat="1" ht="25.5">
      <c r="A106" s="119" t="s">
        <v>311</v>
      </c>
      <c r="B106" s="119" t="s">
        <v>207</v>
      </c>
      <c r="C106" s="120">
        <v>89</v>
      </c>
      <c r="D106" s="96">
        <v>104</v>
      </c>
      <c r="E106" s="120">
        <v>9700</v>
      </c>
      <c r="F106" s="121">
        <v>21812</v>
      </c>
      <c r="G106" s="122">
        <v>2210430</v>
      </c>
      <c r="H106" s="123" t="s">
        <v>121</v>
      </c>
      <c r="I106" s="124">
        <v>36635</v>
      </c>
      <c r="J106" s="122">
        <f t="shared" si="82"/>
        <v>40.583162217659137</v>
      </c>
      <c r="K106" s="125">
        <v>1</v>
      </c>
      <c r="L106" s="123" t="s">
        <v>49</v>
      </c>
      <c r="M106" s="119" t="s">
        <v>148</v>
      </c>
      <c r="N106" s="120" t="s">
        <v>509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6" t="s">
        <v>24</v>
      </c>
      <c r="U106" s="103" t="s">
        <v>509</v>
      </c>
      <c r="V106" s="103">
        <v>0</v>
      </c>
      <c r="W106" s="103">
        <v>0</v>
      </c>
      <c r="X106" s="103">
        <v>0</v>
      </c>
      <c r="Y106" s="103">
        <v>0</v>
      </c>
      <c r="Z106" s="103">
        <v>0</v>
      </c>
      <c r="AA106" s="103">
        <v>0</v>
      </c>
      <c r="AB106" s="105">
        <v>36129</v>
      </c>
      <c r="AC106" s="105">
        <v>36631</v>
      </c>
      <c r="AD106" s="106">
        <f t="shared" si="83"/>
        <v>16.492813141683779</v>
      </c>
      <c r="AE106" s="106">
        <v>0</v>
      </c>
      <c r="AF106" s="106">
        <v>0</v>
      </c>
      <c r="AG106" s="105" t="s">
        <v>391</v>
      </c>
      <c r="AH106" s="100">
        <v>0</v>
      </c>
      <c r="AI106" s="127" t="s">
        <v>227</v>
      </c>
      <c r="AJ106" s="105">
        <v>36631</v>
      </c>
      <c r="AK106" s="106">
        <f t="shared" si="84"/>
        <v>0.13141683778234087</v>
      </c>
      <c r="AL106" s="106">
        <f t="shared" si="85"/>
        <v>0</v>
      </c>
      <c r="AM106" s="106">
        <f t="shared" si="86"/>
        <v>16.624229979466119</v>
      </c>
      <c r="AN106" s="102">
        <v>1</v>
      </c>
      <c r="AO106" s="102">
        <v>1</v>
      </c>
      <c r="AP106" s="128">
        <v>36615</v>
      </c>
      <c r="AQ106" s="128">
        <v>36634</v>
      </c>
      <c r="AR106" s="129">
        <f t="shared" si="87"/>
        <v>2.7142857142857144</v>
      </c>
      <c r="AS106" s="109">
        <v>30</v>
      </c>
      <c r="AT106" s="109">
        <v>2</v>
      </c>
      <c r="AU106" s="109">
        <f t="shared" si="78"/>
        <v>60</v>
      </c>
      <c r="AV106" s="109">
        <v>0</v>
      </c>
      <c r="AW106" s="109">
        <v>0</v>
      </c>
      <c r="AX106" s="109">
        <v>0</v>
      </c>
      <c r="AY106" s="109">
        <v>0</v>
      </c>
      <c r="AZ106" s="109">
        <v>0</v>
      </c>
      <c r="BA106" s="109">
        <v>1</v>
      </c>
      <c r="BB106" s="109">
        <v>0</v>
      </c>
      <c r="BC106" s="109">
        <v>1</v>
      </c>
      <c r="BD106" s="125">
        <v>1</v>
      </c>
      <c r="BE106" s="131">
        <v>37353</v>
      </c>
      <c r="BF106" s="124"/>
      <c r="BG106" s="124">
        <f t="shared" si="70"/>
        <v>37353</v>
      </c>
      <c r="BH106" s="124"/>
      <c r="BI106" s="102" t="s">
        <v>82</v>
      </c>
      <c r="BJ106" s="100">
        <f t="shared" si="88"/>
        <v>23.589322381930184</v>
      </c>
      <c r="BK106" s="100">
        <f t="shared" si="89"/>
        <v>718</v>
      </c>
      <c r="BL106" s="100">
        <v>1</v>
      </c>
      <c r="BM106" s="110">
        <v>37011</v>
      </c>
      <c r="BN106" s="100">
        <f>(BM106-AQ106)*12/365.25</f>
        <v>12.386036960985626</v>
      </c>
      <c r="BO106" s="100">
        <f>(BM106-I106)*12/365.25</f>
        <v>12.353182751540041</v>
      </c>
      <c r="BP106" s="100">
        <f t="shared" si="90"/>
        <v>376</v>
      </c>
      <c r="BQ106" s="100">
        <v>1</v>
      </c>
      <c r="BR106" s="110">
        <v>36834</v>
      </c>
      <c r="BS106" s="106">
        <f t="shared" si="94"/>
        <v>6.537987679671458</v>
      </c>
      <c r="BT106" s="100">
        <f t="shared" si="91"/>
        <v>199</v>
      </c>
      <c r="BU106" s="100">
        <v>1</v>
      </c>
      <c r="BV106" s="100"/>
      <c r="BW106" s="100"/>
      <c r="BX106" s="110">
        <f>BR106</f>
        <v>36834</v>
      </c>
      <c r="BY106" s="100">
        <f t="shared" si="95"/>
        <v>6.537987679671458</v>
      </c>
      <c r="BZ106" s="100">
        <f t="shared" si="77"/>
        <v>199</v>
      </c>
      <c r="CA106" s="100">
        <f t="shared" si="81"/>
        <v>1</v>
      </c>
      <c r="CB106" s="110">
        <f t="shared" si="96"/>
        <v>36834</v>
      </c>
      <c r="CC106" s="100">
        <f t="shared" si="92"/>
        <v>6.537987679671458</v>
      </c>
      <c r="CD106" s="100">
        <f t="shared" si="93"/>
        <v>199</v>
      </c>
      <c r="CE106" s="132" t="s">
        <v>38</v>
      </c>
      <c r="CF106" s="126" t="s">
        <v>38</v>
      </c>
      <c r="CG106" s="100">
        <v>4</v>
      </c>
      <c r="CH106" s="115">
        <v>50</v>
      </c>
      <c r="CI106" s="126" t="s">
        <v>153</v>
      </c>
      <c r="CJ106" s="126" t="s">
        <v>38</v>
      </c>
      <c r="CK106" s="126" t="s">
        <v>364</v>
      </c>
      <c r="CL106" s="126"/>
      <c r="CM106" s="126" t="s">
        <v>408</v>
      </c>
      <c r="CN106" s="110"/>
      <c r="CO106" s="100">
        <v>0</v>
      </c>
      <c r="CP106" s="110"/>
      <c r="CQ106" s="110" t="s">
        <v>408</v>
      </c>
      <c r="CR106" s="126"/>
    </row>
    <row r="107" spans="1:96" s="113" customFormat="1" ht="25.5">
      <c r="A107" s="119" t="s">
        <v>269</v>
      </c>
      <c r="B107" s="119" t="s">
        <v>181</v>
      </c>
      <c r="C107" s="120">
        <v>92</v>
      </c>
      <c r="D107" s="96">
        <v>105</v>
      </c>
      <c r="E107" s="120">
        <v>9700</v>
      </c>
      <c r="F107" s="121">
        <v>14813</v>
      </c>
      <c r="G107" s="122">
        <v>2217754</v>
      </c>
      <c r="H107" s="123" t="s">
        <v>121</v>
      </c>
      <c r="I107" s="124">
        <v>36652</v>
      </c>
      <c r="J107" s="122">
        <f t="shared" si="82"/>
        <v>59.791923340177959</v>
      </c>
      <c r="K107" s="125">
        <v>1</v>
      </c>
      <c r="L107" s="123" t="s">
        <v>34</v>
      </c>
      <c r="M107" s="119" t="s">
        <v>309</v>
      </c>
      <c r="N107" s="120" t="s">
        <v>511</v>
      </c>
      <c r="O107" s="120">
        <v>0</v>
      </c>
      <c r="P107" s="120">
        <v>0</v>
      </c>
      <c r="Q107" s="120">
        <v>0</v>
      </c>
      <c r="R107" s="120">
        <v>0</v>
      </c>
      <c r="S107" s="120">
        <v>1</v>
      </c>
      <c r="T107" s="126" t="s">
        <v>198</v>
      </c>
      <c r="U107" s="103" t="s">
        <v>509</v>
      </c>
      <c r="V107" s="103">
        <v>0</v>
      </c>
      <c r="W107" s="103">
        <v>0</v>
      </c>
      <c r="X107" s="103">
        <v>0</v>
      </c>
      <c r="Y107" s="103">
        <v>0</v>
      </c>
      <c r="Z107" s="103">
        <v>0</v>
      </c>
      <c r="AA107" s="103">
        <v>0</v>
      </c>
      <c r="AB107" s="105">
        <v>36264</v>
      </c>
      <c r="AC107" s="105">
        <v>36334</v>
      </c>
      <c r="AD107" s="106">
        <f t="shared" si="83"/>
        <v>2.299794661190965</v>
      </c>
      <c r="AE107" s="106">
        <v>0</v>
      </c>
      <c r="AF107" s="106">
        <v>1</v>
      </c>
      <c r="AG107" s="105" t="s">
        <v>389</v>
      </c>
      <c r="AH107" s="100">
        <v>1</v>
      </c>
      <c r="AI107" s="127" t="s">
        <v>315</v>
      </c>
      <c r="AJ107" s="105">
        <v>36334</v>
      </c>
      <c r="AK107" s="106">
        <f t="shared" si="84"/>
        <v>10.447638603696099</v>
      </c>
      <c r="AL107" s="106">
        <f t="shared" si="85"/>
        <v>0</v>
      </c>
      <c r="AM107" s="106">
        <f t="shared" si="86"/>
        <v>12.747433264887064</v>
      </c>
      <c r="AN107" s="102">
        <v>3</v>
      </c>
      <c r="AO107" s="102">
        <v>0</v>
      </c>
      <c r="AP107" s="128">
        <v>36662</v>
      </c>
      <c r="AQ107" s="128">
        <v>36678</v>
      </c>
      <c r="AR107" s="129">
        <f t="shared" si="87"/>
        <v>2.2857142857142856</v>
      </c>
      <c r="AS107" s="109">
        <v>12</v>
      </c>
      <c r="AT107" s="109">
        <v>3.5</v>
      </c>
      <c r="AU107" s="109">
        <f t="shared" si="78"/>
        <v>42</v>
      </c>
      <c r="AV107" s="109">
        <v>0</v>
      </c>
      <c r="AW107" s="109">
        <v>0</v>
      </c>
      <c r="AX107" s="109">
        <v>1</v>
      </c>
      <c r="AY107" s="109">
        <v>0</v>
      </c>
      <c r="AZ107" s="109">
        <v>0</v>
      </c>
      <c r="BA107" s="109">
        <v>0</v>
      </c>
      <c r="BB107" s="109">
        <v>0</v>
      </c>
      <c r="BC107" s="109">
        <v>1</v>
      </c>
      <c r="BD107" s="125">
        <v>1</v>
      </c>
      <c r="BE107" s="131">
        <v>36912</v>
      </c>
      <c r="BF107" s="124"/>
      <c r="BG107" s="124">
        <f t="shared" si="70"/>
        <v>36912</v>
      </c>
      <c r="BH107" s="124"/>
      <c r="BI107" s="102" t="s">
        <v>82</v>
      </c>
      <c r="BJ107" s="100">
        <f t="shared" si="88"/>
        <v>8.5420944558521548</v>
      </c>
      <c r="BK107" s="100">
        <f t="shared" si="89"/>
        <v>259.99999999999994</v>
      </c>
      <c r="BL107" s="100">
        <v>0</v>
      </c>
      <c r="BM107" s="110"/>
      <c r="BN107" s="100"/>
      <c r="BO107" s="100">
        <f>BJ107</f>
        <v>8.5420944558521548</v>
      </c>
      <c r="BP107" s="100">
        <f t="shared" si="90"/>
        <v>259.99999999999994</v>
      </c>
      <c r="BQ107" s="100">
        <v>1</v>
      </c>
      <c r="BR107" s="110">
        <v>36776</v>
      </c>
      <c r="BS107" s="106">
        <f t="shared" si="94"/>
        <v>4.0739219712525667</v>
      </c>
      <c r="BT107" s="100">
        <f t="shared" si="91"/>
        <v>124</v>
      </c>
      <c r="BU107" s="100">
        <f>BQ107+BL107</f>
        <v>1</v>
      </c>
      <c r="BV107" s="100"/>
      <c r="BW107" s="100"/>
      <c r="BX107" s="110">
        <f>BR107</f>
        <v>36776</v>
      </c>
      <c r="BY107" s="100">
        <f t="shared" si="95"/>
        <v>4.0739219712525667</v>
      </c>
      <c r="BZ107" s="100">
        <f t="shared" si="77"/>
        <v>124</v>
      </c>
      <c r="CA107" s="100">
        <f t="shared" si="81"/>
        <v>1</v>
      </c>
      <c r="CB107" s="110">
        <f t="shared" si="96"/>
        <v>36776</v>
      </c>
      <c r="CC107" s="100">
        <f t="shared" si="92"/>
        <v>4.0739219712525667</v>
      </c>
      <c r="CD107" s="100">
        <f t="shared" si="93"/>
        <v>124</v>
      </c>
      <c r="CE107" s="132" t="s">
        <v>38</v>
      </c>
      <c r="CF107" s="126"/>
      <c r="CG107" s="100">
        <v>4</v>
      </c>
      <c r="CH107" s="115">
        <f>2.63+1.33+71.62</f>
        <v>75.58</v>
      </c>
      <c r="CI107" s="126" t="s">
        <v>38</v>
      </c>
      <c r="CJ107" s="126" t="s">
        <v>38</v>
      </c>
      <c r="CK107" s="126" t="s">
        <v>38</v>
      </c>
      <c r="CL107" s="126"/>
      <c r="CM107" s="126" t="s">
        <v>408</v>
      </c>
      <c r="CN107" s="110"/>
      <c r="CO107" s="100">
        <v>0</v>
      </c>
      <c r="CP107" s="110"/>
      <c r="CQ107" s="110" t="s">
        <v>408</v>
      </c>
      <c r="CR107" s="126"/>
    </row>
    <row r="108" spans="1:96" s="113" customFormat="1" ht="25.5">
      <c r="A108" s="119" t="s">
        <v>25</v>
      </c>
      <c r="B108" s="119" t="s">
        <v>26</v>
      </c>
      <c r="C108" s="120">
        <v>93</v>
      </c>
      <c r="D108" s="96">
        <v>106</v>
      </c>
      <c r="E108" s="120">
        <v>9700</v>
      </c>
      <c r="F108" s="121">
        <v>6129</v>
      </c>
      <c r="G108" s="122">
        <v>1482100</v>
      </c>
      <c r="H108" s="123" t="s">
        <v>121</v>
      </c>
      <c r="I108" s="124">
        <v>36655</v>
      </c>
      <c r="J108" s="122">
        <f t="shared" si="82"/>
        <v>83.575633127994521</v>
      </c>
      <c r="K108" s="125">
        <v>1</v>
      </c>
      <c r="L108" s="123" t="s">
        <v>49</v>
      </c>
      <c r="M108" s="119" t="s">
        <v>64</v>
      </c>
      <c r="N108" s="120" t="s">
        <v>107</v>
      </c>
      <c r="O108" s="120">
        <v>1</v>
      </c>
      <c r="P108" s="120">
        <v>0</v>
      </c>
      <c r="Q108" s="120">
        <v>0</v>
      </c>
      <c r="R108" s="120">
        <v>0</v>
      </c>
      <c r="S108" s="120">
        <v>0</v>
      </c>
      <c r="T108" s="126" t="s">
        <v>155</v>
      </c>
      <c r="U108" s="103" t="s">
        <v>402</v>
      </c>
      <c r="V108" s="103">
        <v>1</v>
      </c>
      <c r="W108" s="103">
        <v>0</v>
      </c>
      <c r="X108" s="103">
        <v>0</v>
      </c>
      <c r="Y108" s="103">
        <v>0</v>
      </c>
      <c r="Z108" s="103">
        <v>0</v>
      </c>
      <c r="AA108" s="103">
        <v>0</v>
      </c>
      <c r="AB108" s="105">
        <v>35564</v>
      </c>
      <c r="AC108" s="105">
        <v>36646</v>
      </c>
      <c r="AD108" s="106">
        <f t="shared" si="83"/>
        <v>35.548254620123203</v>
      </c>
      <c r="AE108" s="106">
        <v>0</v>
      </c>
      <c r="AF108" s="106">
        <v>0</v>
      </c>
      <c r="AG108" s="105" t="s">
        <v>387</v>
      </c>
      <c r="AH108" s="100">
        <v>1</v>
      </c>
      <c r="AI108" s="127" t="s">
        <v>340</v>
      </c>
      <c r="AJ108" s="105">
        <v>36646</v>
      </c>
      <c r="AK108" s="106">
        <f t="shared" si="84"/>
        <v>0.29568788501026694</v>
      </c>
      <c r="AL108" s="106">
        <f t="shared" si="85"/>
        <v>0</v>
      </c>
      <c r="AM108" s="106">
        <f t="shared" si="86"/>
        <v>35.843942505133469</v>
      </c>
      <c r="AN108" s="102">
        <v>3</v>
      </c>
      <c r="AO108" s="102">
        <v>0</v>
      </c>
      <c r="AP108" s="128">
        <v>36664</v>
      </c>
      <c r="AQ108" s="128">
        <v>36678</v>
      </c>
      <c r="AR108" s="129">
        <f t="shared" si="87"/>
        <v>2</v>
      </c>
      <c r="AS108" s="109">
        <v>10</v>
      </c>
      <c r="AT108" s="109">
        <v>5</v>
      </c>
      <c r="AU108" s="109">
        <f t="shared" si="78"/>
        <v>50</v>
      </c>
      <c r="AV108" s="109">
        <v>1</v>
      </c>
      <c r="AW108" s="109">
        <v>0</v>
      </c>
      <c r="AX108" s="109">
        <v>1</v>
      </c>
      <c r="AY108" s="109">
        <v>0</v>
      </c>
      <c r="AZ108" s="109">
        <v>0</v>
      </c>
      <c r="BA108" s="109">
        <v>0</v>
      </c>
      <c r="BB108" s="109">
        <v>0</v>
      </c>
      <c r="BC108" s="109">
        <v>2</v>
      </c>
      <c r="BD108" s="125">
        <v>1</v>
      </c>
      <c r="BE108" s="131">
        <v>37054</v>
      </c>
      <c r="BF108" s="124"/>
      <c r="BG108" s="124">
        <f t="shared" si="70"/>
        <v>37054</v>
      </c>
      <c r="BH108" s="124"/>
      <c r="BI108" s="102" t="s">
        <v>87</v>
      </c>
      <c r="BJ108" s="100">
        <f t="shared" si="88"/>
        <v>13.108829568788501</v>
      </c>
      <c r="BK108" s="100">
        <f t="shared" si="89"/>
        <v>399</v>
      </c>
      <c r="BL108" s="100">
        <v>0</v>
      </c>
      <c r="BM108" s="110"/>
      <c r="BN108" s="100"/>
      <c r="BO108" s="100">
        <f>BJ108</f>
        <v>13.108829568788501</v>
      </c>
      <c r="BP108" s="100">
        <f t="shared" si="90"/>
        <v>399</v>
      </c>
      <c r="BQ108" s="100">
        <v>1</v>
      </c>
      <c r="BR108" s="110">
        <v>36936</v>
      </c>
      <c r="BS108" s="106">
        <f t="shared" si="94"/>
        <v>9.2320328542094447</v>
      </c>
      <c r="BT108" s="100">
        <f t="shared" si="91"/>
        <v>280.99999999999994</v>
      </c>
      <c r="BU108" s="100">
        <v>1</v>
      </c>
      <c r="BV108" s="100"/>
      <c r="BW108" s="100"/>
      <c r="BX108" s="110">
        <f>BR108</f>
        <v>36936</v>
      </c>
      <c r="BY108" s="100">
        <f t="shared" si="95"/>
        <v>9.2320328542094447</v>
      </c>
      <c r="BZ108" s="100">
        <f t="shared" si="77"/>
        <v>280.99999999999994</v>
      </c>
      <c r="CA108" s="100">
        <f t="shared" si="81"/>
        <v>1</v>
      </c>
      <c r="CB108" s="110">
        <f t="shared" si="96"/>
        <v>36936</v>
      </c>
      <c r="CC108" s="100">
        <f t="shared" si="92"/>
        <v>9.2320328542094447</v>
      </c>
      <c r="CD108" s="100">
        <f t="shared" si="93"/>
        <v>280.99999999999994</v>
      </c>
      <c r="CE108" s="132" t="s">
        <v>22</v>
      </c>
      <c r="CF108" s="126" t="s">
        <v>104</v>
      </c>
      <c r="CG108" s="100">
        <v>2</v>
      </c>
      <c r="CH108" s="115">
        <f>1.26+5.46+3.75</f>
        <v>10.469999999999999</v>
      </c>
      <c r="CI108" s="126" t="s">
        <v>103</v>
      </c>
      <c r="CJ108" s="126" t="s">
        <v>102</v>
      </c>
      <c r="CK108" s="126" t="s">
        <v>363</v>
      </c>
      <c r="CL108" s="126"/>
      <c r="CM108" s="126" t="s">
        <v>408</v>
      </c>
      <c r="CN108" s="110">
        <v>36816</v>
      </c>
      <c r="CO108" s="100">
        <v>1</v>
      </c>
      <c r="CP108" s="100">
        <f>(CN108-AP108)*12/365.25</f>
        <v>4.9938398357289531</v>
      </c>
      <c r="CQ108" s="100" t="s">
        <v>389</v>
      </c>
      <c r="CR108" s="126"/>
    </row>
    <row r="109" spans="1:96" s="113" customFormat="1" ht="25.5">
      <c r="A109" s="119" t="s">
        <v>226</v>
      </c>
      <c r="B109" s="119" t="s">
        <v>203</v>
      </c>
      <c r="C109" s="120">
        <v>94</v>
      </c>
      <c r="D109" s="96">
        <v>107</v>
      </c>
      <c r="E109" s="120">
        <v>9700</v>
      </c>
      <c r="F109" s="121">
        <v>8267</v>
      </c>
      <c r="G109" s="122">
        <v>545343</v>
      </c>
      <c r="H109" s="123" t="s">
        <v>50</v>
      </c>
      <c r="I109" s="124">
        <v>36658</v>
      </c>
      <c r="J109" s="122">
        <f t="shared" si="82"/>
        <v>77.730321697467488</v>
      </c>
      <c r="K109" s="125">
        <v>1</v>
      </c>
      <c r="L109" s="123" t="s">
        <v>274</v>
      </c>
      <c r="M109" s="119" t="s">
        <v>298</v>
      </c>
      <c r="N109" s="120" t="s">
        <v>403</v>
      </c>
      <c r="O109" s="120">
        <v>0</v>
      </c>
      <c r="P109" s="120">
        <v>0</v>
      </c>
      <c r="Q109" s="120">
        <v>1</v>
      </c>
      <c r="R109" s="120">
        <v>0</v>
      </c>
      <c r="S109" s="120">
        <v>0</v>
      </c>
      <c r="T109" s="126" t="s">
        <v>244</v>
      </c>
      <c r="U109" s="103" t="s">
        <v>402</v>
      </c>
      <c r="V109" s="103">
        <v>1</v>
      </c>
      <c r="W109" s="103">
        <v>0</v>
      </c>
      <c r="X109" s="103">
        <v>0</v>
      </c>
      <c r="Y109" s="103">
        <v>0</v>
      </c>
      <c r="Z109" s="103">
        <v>0</v>
      </c>
      <c r="AA109" s="103">
        <v>0</v>
      </c>
      <c r="AB109" s="105">
        <v>36585</v>
      </c>
      <c r="AC109" s="105">
        <v>36603</v>
      </c>
      <c r="AD109" s="106">
        <f t="shared" si="83"/>
        <v>0.59137577002053388</v>
      </c>
      <c r="AE109" s="106">
        <v>0</v>
      </c>
      <c r="AF109" s="106">
        <v>0</v>
      </c>
      <c r="AG109" s="105" t="s">
        <v>408</v>
      </c>
      <c r="AH109" s="100">
        <v>0</v>
      </c>
      <c r="AI109" s="127" t="s">
        <v>271</v>
      </c>
      <c r="AJ109" s="105">
        <v>36603</v>
      </c>
      <c r="AK109" s="106">
        <f t="shared" si="84"/>
        <v>1.8069815195071868</v>
      </c>
      <c r="AL109" s="106">
        <f t="shared" si="85"/>
        <v>0</v>
      </c>
      <c r="AM109" s="106">
        <f t="shared" si="86"/>
        <v>2.3983572895277208</v>
      </c>
      <c r="AN109" s="102">
        <v>5</v>
      </c>
      <c r="AO109" s="102">
        <v>0</v>
      </c>
      <c r="AP109" s="128">
        <v>36664</v>
      </c>
      <c r="AQ109" s="128">
        <v>36678</v>
      </c>
      <c r="AR109" s="129">
        <f t="shared" si="87"/>
        <v>2</v>
      </c>
      <c r="AS109" s="109">
        <v>10</v>
      </c>
      <c r="AT109" s="109">
        <v>5</v>
      </c>
      <c r="AU109" s="109">
        <f t="shared" si="78"/>
        <v>50</v>
      </c>
      <c r="AV109" s="109">
        <v>1</v>
      </c>
      <c r="AW109" s="109">
        <v>0</v>
      </c>
      <c r="AX109" s="109">
        <v>0</v>
      </c>
      <c r="AY109" s="109">
        <v>0</v>
      </c>
      <c r="AZ109" s="109">
        <v>0</v>
      </c>
      <c r="BA109" s="109">
        <v>0</v>
      </c>
      <c r="BB109" s="109">
        <v>0</v>
      </c>
      <c r="BC109" s="109">
        <v>1</v>
      </c>
      <c r="BD109" s="125">
        <v>1</v>
      </c>
      <c r="BE109" s="131">
        <v>37234</v>
      </c>
      <c r="BF109" s="124"/>
      <c r="BG109" s="124">
        <f t="shared" si="70"/>
        <v>37234</v>
      </c>
      <c r="BH109" s="124"/>
      <c r="BI109" s="102" t="s">
        <v>87</v>
      </c>
      <c r="BJ109" s="100">
        <f t="shared" si="88"/>
        <v>18.924024640657084</v>
      </c>
      <c r="BK109" s="100">
        <f t="shared" si="89"/>
        <v>576</v>
      </c>
      <c r="BL109" s="100">
        <v>0</v>
      </c>
      <c r="BM109" s="110"/>
      <c r="BN109" s="100"/>
      <c r="BO109" s="100">
        <f>BJ109</f>
        <v>18.924024640657084</v>
      </c>
      <c r="BP109" s="100">
        <f t="shared" si="90"/>
        <v>576</v>
      </c>
      <c r="BQ109" s="100">
        <v>1</v>
      </c>
      <c r="BR109" s="110">
        <v>37225</v>
      </c>
      <c r="BS109" s="106">
        <f t="shared" si="94"/>
        <v>18.628336755646817</v>
      </c>
      <c r="BT109" s="100">
        <f t="shared" si="91"/>
        <v>567</v>
      </c>
      <c r="BU109" s="100">
        <v>1</v>
      </c>
      <c r="BV109" s="100"/>
      <c r="BW109" s="100"/>
      <c r="BX109" s="110">
        <v>37225</v>
      </c>
      <c r="BY109" s="100">
        <f t="shared" si="95"/>
        <v>18.628336755646817</v>
      </c>
      <c r="BZ109" s="100">
        <f t="shared" si="77"/>
        <v>567</v>
      </c>
      <c r="CA109" s="100">
        <f t="shared" si="81"/>
        <v>1</v>
      </c>
      <c r="CB109" s="110">
        <f t="shared" si="96"/>
        <v>37225</v>
      </c>
      <c r="CC109" s="100">
        <f t="shared" si="92"/>
        <v>18.628336755646817</v>
      </c>
      <c r="CD109" s="100">
        <f t="shared" si="93"/>
        <v>567</v>
      </c>
      <c r="CE109" s="132" t="s">
        <v>38</v>
      </c>
      <c r="CF109" s="126" t="s">
        <v>38</v>
      </c>
      <c r="CG109" s="100">
        <v>1</v>
      </c>
      <c r="CH109" s="115">
        <f>0.53+5.08+0.22+0.16+0.13</f>
        <v>6.12</v>
      </c>
      <c r="CI109" s="126" t="s">
        <v>38</v>
      </c>
      <c r="CJ109" s="126" t="s">
        <v>38</v>
      </c>
      <c r="CK109" s="126" t="s">
        <v>383</v>
      </c>
      <c r="CL109" s="126"/>
      <c r="CM109" s="126" t="s">
        <v>408</v>
      </c>
      <c r="CN109" s="110"/>
      <c r="CO109" s="100">
        <v>0</v>
      </c>
      <c r="CP109" s="110"/>
      <c r="CQ109" s="110" t="s">
        <v>408</v>
      </c>
      <c r="CR109" s="126"/>
    </row>
    <row r="110" spans="1:96" s="113" customFormat="1" ht="25.5">
      <c r="A110" s="119" t="s">
        <v>312</v>
      </c>
      <c r="B110" s="119" t="s">
        <v>313</v>
      </c>
      <c r="C110" s="120">
        <v>95</v>
      </c>
      <c r="D110" s="96">
        <v>108</v>
      </c>
      <c r="E110" s="120">
        <v>9700</v>
      </c>
      <c r="F110" s="121">
        <v>16968</v>
      </c>
      <c r="G110" s="122">
        <v>1340364</v>
      </c>
      <c r="H110" s="123" t="s">
        <v>50</v>
      </c>
      <c r="I110" s="124">
        <v>36658</v>
      </c>
      <c r="J110" s="122">
        <f t="shared" si="82"/>
        <v>53.908281998631075</v>
      </c>
      <c r="K110" s="125">
        <v>1</v>
      </c>
      <c r="L110" s="123" t="s">
        <v>274</v>
      </c>
      <c r="M110" s="119" t="s">
        <v>314</v>
      </c>
      <c r="N110" s="120" t="s">
        <v>107</v>
      </c>
      <c r="O110" s="120">
        <v>1</v>
      </c>
      <c r="P110" s="120">
        <v>0</v>
      </c>
      <c r="Q110" s="120">
        <v>0</v>
      </c>
      <c r="R110" s="120">
        <v>0</v>
      </c>
      <c r="S110" s="120">
        <v>0</v>
      </c>
      <c r="T110" s="126" t="s">
        <v>155</v>
      </c>
      <c r="U110" s="103" t="s">
        <v>402</v>
      </c>
      <c r="V110" s="103">
        <v>1</v>
      </c>
      <c r="W110" s="103">
        <v>0</v>
      </c>
      <c r="X110" s="103">
        <v>0</v>
      </c>
      <c r="Y110" s="103">
        <v>0</v>
      </c>
      <c r="Z110" s="103">
        <v>0</v>
      </c>
      <c r="AA110" s="103">
        <v>0</v>
      </c>
      <c r="AB110" s="105">
        <v>34788</v>
      </c>
      <c r="AC110" s="105">
        <v>36596</v>
      </c>
      <c r="AD110" s="106">
        <f t="shared" si="83"/>
        <v>59.400410677618069</v>
      </c>
      <c r="AE110" s="106">
        <v>0</v>
      </c>
      <c r="AF110" s="106">
        <v>0</v>
      </c>
      <c r="AG110" s="105" t="s">
        <v>391</v>
      </c>
      <c r="AH110" s="100">
        <v>0</v>
      </c>
      <c r="AI110" s="127" t="s">
        <v>271</v>
      </c>
      <c r="AJ110" s="105">
        <v>36596</v>
      </c>
      <c r="AK110" s="106">
        <f t="shared" si="84"/>
        <v>2.0369609856262834</v>
      </c>
      <c r="AL110" s="106">
        <f t="shared" si="85"/>
        <v>0</v>
      </c>
      <c r="AM110" s="106">
        <f t="shared" si="86"/>
        <v>61.437371663244356</v>
      </c>
      <c r="AN110" s="102">
        <v>2</v>
      </c>
      <c r="AO110" s="102">
        <v>0</v>
      </c>
      <c r="AP110" s="128">
        <v>36669</v>
      </c>
      <c r="AQ110" s="128">
        <v>36683</v>
      </c>
      <c r="AR110" s="129">
        <f t="shared" si="87"/>
        <v>2</v>
      </c>
      <c r="AS110" s="109">
        <v>10</v>
      </c>
      <c r="AT110" s="109">
        <v>5</v>
      </c>
      <c r="AU110" s="109">
        <f t="shared" si="78"/>
        <v>50</v>
      </c>
      <c r="AV110" s="109">
        <v>1</v>
      </c>
      <c r="AW110" s="109">
        <v>0</v>
      </c>
      <c r="AX110" s="109">
        <v>0</v>
      </c>
      <c r="AY110" s="109">
        <v>0</v>
      </c>
      <c r="AZ110" s="109">
        <v>0</v>
      </c>
      <c r="BA110" s="109">
        <v>0</v>
      </c>
      <c r="BB110" s="109">
        <v>0</v>
      </c>
      <c r="BC110" s="109">
        <v>1</v>
      </c>
      <c r="BD110" s="125">
        <v>1</v>
      </c>
      <c r="BE110" s="131">
        <v>37221</v>
      </c>
      <c r="BF110" s="124"/>
      <c r="BG110" s="124">
        <f t="shared" si="70"/>
        <v>37221</v>
      </c>
      <c r="BH110" s="124"/>
      <c r="BI110" s="102" t="s">
        <v>82</v>
      </c>
      <c r="BJ110" s="100">
        <f t="shared" si="88"/>
        <v>18.496919917864478</v>
      </c>
      <c r="BK110" s="100">
        <f t="shared" si="89"/>
        <v>563.00000000000011</v>
      </c>
      <c r="BL110" s="100">
        <v>0</v>
      </c>
      <c r="BM110" s="110"/>
      <c r="BN110" s="100"/>
      <c r="BO110" s="100">
        <f>BJ110</f>
        <v>18.496919917864478</v>
      </c>
      <c r="BP110" s="100">
        <f t="shared" si="90"/>
        <v>563.00000000000011</v>
      </c>
      <c r="BQ110" s="100">
        <v>1</v>
      </c>
      <c r="BR110" s="110">
        <v>37055</v>
      </c>
      <c r="BS110" s="106">
        <f t="shared" si="94"/>
        <v>13.043121149897331</v>
      </c>
      <c r="BT110" s="100">
        <f t="shared" si="91"/>
        <v>397</v>
      </c>
      <c r="BU110" s="100">
        <v>1</v>
      </c>
      <c r="BV110" s="100"/>
      <c r="BW110" s="100"/>
      <c r="BX110" s="110">
        <f>BR110</f>
        <v>37055</v>
      </c>
      <c r="BY110" s="100">
        <f t="shared" si="95"/>
        <v>13.043121149897331</v>
      </c>
      <c r="BZ110" s="100">
        <f t="shared" si="77"/>
        <v>397</v>
      </c>
      <c r="CA110" s="100">
        <f t="shared" si="81"/>
        <v>1</v>
      </c>
      <c r="CB110" s="110">
        <f t="shared" si="96"/>
        <v>37055</v>
      </c>
      <c r="CC110" s="100">
        <f t="shared" si="92"/>
        <v>13.043121149897331</v>
      </c>
      <c r="CD110" s="100">
        <f t="shared" si="93"/>
        <v>397</v>
      </c>
      <c r="CE110" s="132" t="s">
        <v>38</v>
      </c>
      <c r="CF110" s="126" t="s">
        <v>38</v>
      </c>
      <c r="CG110" s="100">
        <v>2</v>
      </c>
      <c r="CH110" s="115">
        <f>5.77+6.24</f>
        <v>12.01</v>
      </c>
      <c r="CI110" s="126" t="s">
        <v>38</v>
      </c>
      <c r="CJ110" s="126" t="s">
        <v>38</v>
      </c>
      <c r="CK110" s="126" t="s">
        <v>383</v>
      </c>
      <c r="CL110" s="126"/>
      <c r="CM110" s="126" t="s">
        <v>408</v>
      </c>
      <c r="CN110" s="110"/>
      <c r="CO110" s="100">
        <v>0</v>
      </c>
      <c r="CP110" s="100"/>
      <c r="CQ110" s="100" t="s">
        <v>408</v>
      </c>
      <c r="CR110" s="126"/>
    </row>
    <row r="111" spans="1:96" s="113" customFormat="1" ht="25.5">
      <c r="A111" s="119" t="s">
        <v>129</v>
      </c>
      <c r="B111" s="119" t="s">
        <v>316</v>
      </c>
      <c r="C111" s="120">
        <v>96</v>
      </c>
      <c r="D111" s="96">
        <v>109</v>
      </c>
      <c r="E111" s="120">
        <v>9700</v>
      </c>
      <c r="F111" s="121">
        <v>11255</v>
      </c>
      <c r="G111" s="122">
        <v>1046274</v>
      </c>
      <c r="H111" s="123" t="s">
        <v>121</v>
      </c>
      <c r="I111" s="124">
        <v>36659</v>
      </c>
      <c r="J111" s="122">
        <f t="shared" si="82"/>
        <v>69.552361396303908</v>
      </c>
      <c r="K111" s="125">
        <v>0</v>
      </c>
      <c r="L111" s="123" t="s">
        <v>34</v>
      </c>
      <c r="M111" s="119" t="s">
        <v>317</v>
      </c>
      <c r="N111" s="120" t="s">
        <v>511</v>
      </c>
      <c r="O111" s="120">
        <v>0</v>
      </c>
      <c r="P111" s="120">
        <v>0</v>
      </c>
      <c r="Q111" s="120">
        <v>0</v>
      </c>
      <c r="R111" s="120">
        <v>0</v>
      </c>
      <c r="S111" s="120">
        <v>1</v>
      </c>
      <c r="T111" s="126" t="s">
        <v>155</v>
      </c>
      <c r="U111" s="103" t="s">
        <v>402</v>
      </c>
      <c r="V111" s="103">
        <v>1</v>
      </c>
      <c r="W111" s="103">
        <v>0</v>
      </c>
      <c r="X111" s="103">
        <v>0</v>
      </c>
      <c r="Y111" s="103">
        <v>0</v>
      </c>
      <c r="Z111" s="103">
        <v>0</v>
      </c>
      <c r="AA111" s="103">
        <v>0</v>
      </c>
      <c r="AB111" s="105">
        <v>36363</v>
      </c>
      <c r="AC111" s="105">
        <v>36405</v>
      </c>
      <c r="AD111" s="106">
        <f t="shared" si="83"/>
        <v>1.3798767967145791</v>
      </c>
      <c r="AE111" s="106">
        <v>0</v>
      </c>
      <c r="AF111" s="106">
        <v>0</v>
      </c>
      <c r="AG111" s="105" t="s">
        <v>389</v>
      </c>
      <c r="AH111" s="100">
        <v>1</v>
      </c>
      <c r="AI111" s="127" t="s">
        <v>270</v>
      </c>
      <c r="AJ111" s="105">
        <v>36405</v>
      </c>
      <c r="AK111" s="106">
        <f t="shared" si="84"/>
        <v>8.3449691991786441</v>
      </c>
      <c r="AL111" s="106">
        <f t="shared" si="85"/>
        <v>0</v>
      </c>
      <c r="AM111" s="106">
        <f t="shared" si="86"/>
        <v>9.7248459958932241</v>
      </c>
      <c r="AN111" s="102">
        <v>2</v>
      </c>
      <c r="AO111" s="102">
        <v>0</v>
      </c>
      <c r="AP111" s="128">
        <v>36686</v>
      </c>
      <c r="AQ111" s="128">
        <v>36699</v>
      </c>
      <c r="AR111" s="129">
        <f t="shared" si="87"/>
        <v>1.8571428571428572</v>
      </c>
      <c r="AS111" s="109">
        <v>10</v>
      </c>
      <c r="AT111" s="109">
        <v>5</v>
      </c>
      <c r="AU111" s="109">
        <f t="shared" si="78"/>
        <v>50</v>
      </c>
      <c r="AV111" s="109">
        <v>0</v>
      </c>
      <c r="AW111" s="109">
        <v>0</v>
      </c>
      <c r="AX111" s="109">
        <v>1</v>
      </c>
      <c r="AY111" s="109">
        <v>0</v>
      </c>
      <c r="AZ111" s="109">
        <v>0</v>
      </c>
      <c r="BA111" s="109">
        <v>0</v>
      </c>
      <c r="BB111" s="109">
        <v>0</v>
      </c>
      <c r="BC111" s="109">
        <v>1</v>
      </c>
      <c r="BD111" s="125">
        <v>1</v>
      </c>
      <c r="BE111" s="131">
        <v>36848</v>
      </c>
      <c r="BF111" s="124"/>
      <c r="BG111" s="124">
        <f t="shared" si="70"/>
        <v>36848</v>
      </c>
      <c r="BH111" s="124"/>
      <c r="BI111" s="102" t="s">
        <v>82</v>
      </c>
      <c r="BJ111" s="100">
        <f t="shared" si="88"/>
        <v>6.2094455852156063</v>
      </c>
      <c r="BK111" s="100">
        <f t="shared" si="89"/>
        <v>189</v>
      </c>
      <c r="BL111" s="100">
        <v>0</v>
      </c>
      <c r="BM111" s="110"/>
      <c r="BN111" s="100"/>
      <c r="BO111" s="100">
        <f>BJ111</f>
        <v>6.2094455852156063</v>
      </c>
      <c r="BP111" s="100">
        <f t="shared" si="90"/>
        <v>189</v>
      </c>
      <c r="BQ111" s="100">
        <v>1</v>
      </c>
      <c r="BR111" s="110">
        <v>36785</v>
      </c>
      <c r="BS111" s="106">
        <f t="shared" si="94"/>
        <v>4.1396303901437372</v>
      </c>
      <c r="BT111" s="100">
        <f t="shared" si="91"/>
        <v>126</v>
      </c>
      <c r="BU111" s="100">
        <f>BQ111+BL111</f>
        <v>1</v>
      </c>
      <c r="BV111" s="100"/>
      <c r="BW111" s="100"/>
      <c r="BX111" s="110">
        <f>BR111</f>
        <v>36785</v>
      </c>
      <c r="BY111" s="100">
        <f t="shared" si="95"/>
        <v>4.1396303901437372</v>
      </c>
      <c r="BZ111" s="100">
        <f t="shared" si="77"/>
        <v>126</v>
      </c>
      <c r="CA111" s="100">
        <f t="shared" si="81"/>
        <v>1</v>
      </c>
      <c r="CB111" s="110">
        <f t="shared" si="96"/>
        <v>36785</v>
      </c>
      <c r="CC111" s="100">
        <f t="shared" si="92"/>
        <v>4.1396303901437372</v>
      </c>
      <c r="CD111" s="100">
        <f t="shared" si="93"/>
        <v>126</v>
      </c>
      <c r="CE111" s="132" t="s">
        <v>22</v>
      </c>
      <c r="CF111" s="126" t="s">
        <v>234</v>
      </c>
      <c r="CG111" s="100">
        <v>1</v>
      </c>
      <c r="CH111" s="115">
        <f>1.55+3.2</f>
        <v>4.75</v>
      </c>
      <c r="CI111" s="126" t="s">
        <v>38</v>
      </c>
      <c r="CJ111" s="126" t="s">
        <v>240</v>
      </c>
      <c r="CK111" s="126" t="s">
        <v>38</v>
      </c>
      <c r="CL111" s="126"/>
      <c r="CM111" s="126" t="s">
        <v>408</v>
      </c>
      <c r="CN111" s="110"/>
      <c r="CO111" s="100">
        <v>0</v>
      </c>
      <c r="CP111" s="110"/>
      <c r="CQ111" s="110" t="s">
        <v>408</v>
      </c>
      <c r="CR111" s="126"/>
    </row>
    <row r="112" spans="1:96" s="113" customFormat="1" ht="51">
      <c r="A112" s="119" t="s">
        <v>200</v>
      </c>
      <c r="B112" s="119" t="s">
        <v>259</v>
      </c>
      <c r="C112" s="120">
        <v>99</v>
      </c>
      <c r="D112" s="96">
        <v>110</v>
      </c>
      <c r="E112" s="120">
        <v>9700</v>
      </c>
      <c r="F112" s="121">
        <v>12292</v>
      </c>
      <c r="G112" s="122">
        <v>2235742</v>
      </c>
      <c r="H112" s="123" t="s">
        <v>121</v>
      </c>
      <c r="I112" s="124">
        <v>36720</v>
      </c>
      <c r="J112" s="122">
        <f t="shared" si="82"/>
        <v>66.880219028062967</v>
      </c>
      <c r="K112" s="125">
        <v>0</v>
      </c>
      <c r="L112" s="123" t="s">
        <v>49</v>
      </c>
      <c r="M112" s="119" t="s">
        <v>271</v>
      </c>
      <c r="N112" s="120" t="s">
        <v>510</v>
      </c>
      <c r="O112" s="120">
        <v>0</v>
      </c>
      <c r="P112" s="120">
        <v>1</v>
      </c>
      <c r="Q112" s="120">
        <v>0</v>
      </c>
      <c r="R112" s="120">
        <v>0</v>
      </c>
      <c r="S112" s="120">
        <v>0</v>
      </c>
      <c r="T112" s="126" t="s">
        <v>72</v>
      </c>
      <c r="U112" s="103" t="s">
        <v>509</v>
      </c>
      <c r="V112" s="103">
        <v>0</v>
      </c>
      <c r="W112" s="103">
        <v>0</v>
      </c>
      <c r="X112" s="103">
        <v>0</v>
      </c>
      <c r="Y112" s="103">
        <v>0</v>
      </c>
      <c r="Z112" s="103">
        <v>0</v>
      </c>
      <c r="AA112" s="103">
        <v>0</v>
      </c>
      <c r="AB112" s="105">
        <v>36174</v>
      </c>
      <c r="AC112" s="105">
        <v>36280</v>
      </c>
      <c r="AD112" s="106">
        <f t="shared" si="83"/>
        <v>3.482546201232033</v>
      </c>
      <c r="AE112" s="106">
        <v>1</v>
      </c>
      <c r="AF112" s="106">
        <v>0</v>
      </c>
      <c r="AG112" s="105" t="s">
        <v>387</v>
      </c>
      <c r="AH112" s="100">
        <v>1</v>
      </c>
      <c r="AI112" s="127" t="s">
        <v>327</v>
      </c>
      <c r="AJ112" s="105">
        <v>36680</v>
      </c>
      <c r="AK112" s="106">
        <f t="shared" si="84"/>
        <v>1.3141683778234086</v>
      </c>
      <c r="AL112" s="106">
        <f t="shared" si="85"/>
        <v>13.141683778234086</v>
      </c>
      <c r="AM112" s="106">
        <f t="shared" si="86"/>
        <v>17.938398357289529</v>
      </c>
      <c r="AN112" s="102">
        <v>2</v>
      </c>
      <c r="AO112" s="102">
        <v>0</v>
      </c>
      <c r="AP112" s="128">
        <v>36749</v>
      </c>
      <c r="AQ112" s="128">
        <v>36762</v>
      </c>
      <c r="AR112" s="129">
        <f t="shared" si="87"/>
        <v>1.8571428571428572</v>
      </c>
      <c r="AS112" s="109">
        <v>10</v>
      </c>
      <c r="AT112" s="109">
        <v>4</v>
      </c>
      <c r="AU112" s="109">
        <f t="shared" si="78"/>
        <v>40</v>
      </c>
      <c r="AV112" s="109">
        <v>1</v>
      </c>
      <c r="AW112" s="109">
        <v>1</v>
      </c>
      <c r="AX112" s="109">
        <v>0</v>
      </c>
      <c r="AY112" s="109">
        <v>0</v>
      </c>
      <c r="AZ112" s="109">
        <v>0</v>
      </c>
      <c r="BA112" s="109">
        <v>0</v>
      </c>
      <c r="BB112" s="109">
        <v>0</v>
      </c>
      <c r="BC112" s="109">
        <v>2</v>
      </c>
      <c r="BD112" s="125">
        <v>1</v>
      </c>
      <c r="BE112" s="131">
        <v>37205</v>
      </c>
      <c r="BF112" s="124"/>
      <c r="BG112" s="124">
        <f t="shared" ref="BG112:BG123" si="97">BE112</f>
        <v>37205</v>
      </c>
      <c r="BH112" s="124"/>
      <c r="BI112" s="102" t="s">
        <v>405</v>
      </c>
      <c r="BJ112" s="100">
        <f t="shared" si="88"/>
        <v>15.93429158110883</v>
      </c>
      <c r="BK112" s="100">
        <f t="shared" si="89"/>
        <v>485</v>
      </c>
      <c r="BL112" s="100">
        <v>1</v>
      </c>
      <c r="BM112" s="110">
        <v>36923</v>
      </c>
      <c r="BN112" s="100">
        <f>(BM112-AQ112)*12/365.25</f>
        <v>5.28952772073922</v>
      </c>
      <c r="BO112" s="100">
        <f>(BM112-I112)*12/365.25</f>
        <v>6.669404517453799</v>
      </c>
      <c r="BP112" s="100">
        <f t="shared" si="90"/>
        <v>203</v>
      </c>
      <c r="BQ112" s="100">
        <v>1</v>
      </c>
      <c r="BR112" s="110">
        <v>36923</v>
      </c>
      <c r="BS112" s="106">
        <f t="shared" si="94"/>
        <v>6.669404517453799</v>
      </c>
      <c r="BT112" s="100">
        <f t="shared" si="91"/>
        <v>203</v>
      </c>
      <c r="BU112" s="100">
        <v>1</v>
      </c>
      <c r="BV112" s="100"/>
      <c r="BW112" s="100"/>
      <c r="BX112" s="110">
        <f>BR112</f>
        <v>36923</v>
      </c>
      <c r="BY112" s="100">
        <f t="shared" si="95"/>
        <v>6.669404517453799</v>
      </c>
      <c r="BZ112" s="100">
        <f t="shared" si="77"/>
        <v>203</v>
      </c>
      <c r="CA112" s="100">
        <f t="shared" si="81"/>
        <v>1</v>
      </c>
      <c r="CB112" s="110">
        <f t="shared" si="96"/>
        <v>36923</v>
      </c>
      <c r="CC112" s="100">
        <f t="shared" si="92"/>
        <v>6.669404517453799</v>
      </c>
      <c r="CD112" s="100">
        <f t="shared" si="93"/>
        <v>203</v>
      </c>
      <c r="CE112" s="132" t="s">
        <v>38</v>
      </c>
      <c r="CF112" s="126" t="s">
        <v>38</v>
      </c>
      <c r="CG112" s="100">
        <v>5</v>
      </c>
      <c r="CH112" s="115">
        <v>105.02</v>
      </c>
      <c r="CI112" s="109" t="s">
        <v>19</v>
      </c>
      <c r="CJ112" s="126" t="s">
        <v>18</v>
      </c>
      <c r="CK112" s="126" t="s">
        <v>38</v>
      </c>
      <c r="CL112" s="126"/>
      <c r="CM112" s="126" t="s">
        <v>408</v>
      </c>
      <c r="CN112" s="110"/>
      <c r="CO112" s="100">
        <v>0</v>
      </c>
      <c r="CP112" s="110"/>
      <c r="CQ112" s="110" t="s">
        <v>408</v>
      </c>
      <c r="CR112" s="126"/>
    </row>
    <row r="113" spans="1:96" s="113" customFormat="1" ht="25.5">
      <c r="A113" s="119" t="s">
        <v>171</v>
      </c>
      <c r="B113" s="119" t="s">
        <v>15</v>
      </c>
      <c r="C113" s="120">
        <v>102</v>
      </c>
      <c r="D113" s="96">
        <v>111</v>
      </c>
      <c r="E113" s="120">
        <v>9700</v>
      </c>
      <c r="F113" s="121">
        <v>19314</v>
      </c>
      <c r="G113" s="122">
        <v>909532</v>
      </c>
      <c r="H113" s="123" t="s">
        <v>121</v>
      </c>
      <c r="I113" s="124">
        <v>36735</v>
      </c>
      <c r="J113" s="122">
        <f t="shared" si="82"/>
        <v>47.696098562628336</v>
      </c>
      <c r="K113" s="125">
        <v>0</v>
      </c>
      <c r="L113" s="123" t="s">
        <v>170</v>
      </c>
      <c r="M113" s="119" t="s">
        <v>220</v>
      </c>
      <c r="N113" s="120" t="s">
        <v>510</v>
      </c>
      <c r="O113" s="120">
        <v>0</v>
      </c>
      <c r="P113" s="120">
        <v>1</v>
      </c>
      <c r="Q113" s="120">
        <v>0</v>
      </c>
      <c r="R113" s="120">
        <v>0</v>
      </c>
      <c r="S113" s="120">
        <v>0</v>
      </c>
      <c r="T113" s="126" t="s">
        <v>35</v>
      </c>
      <c r="U113" s="103" t="s">
        <v>507</v>
      </c>
      <c r="V113" s="103">
        <v>0</v>
      </c>
      <c r="W113" s="103">
        <v>1</v>
      </c>
      <c r="X113" s="103">
        <v>0</v>
      </c>
      <c r="Y113" s="103">
        <v>0</v>
      </c>
      <c r="Z113" s="103">
        <v>0</v>
      </c>
      <c r="AA113" s="103">
        <v>0</v>
      </c>
      <c r="AB113" s="105">
        <v>36280</v>
      </c>
      <c r="AC113" s="105">
        <v>36666</v>
      </c>
      <c r="AD113" s="106">
        <f t="shared" si="83"/>
        <v>12.681724845995893</v>
      </c>
      <c r="AE113" s="106">
        <v>0</v>
      </c>
      <c r="AF113" s="106">
        <v>0</v>
      </c>
      <c r="AG113" s="105" t="s">
        <v>388</v>
      </c>
      <c r="AH113" s="100">
        <v>0</v>
      </c>
      <c r="AI113" s="127" t="s">
        <v>227</v>
      </c>
      <c r="AJ113" s="105">
        <v>36666</v>
      </c>
      <c r="AK113" s="106">
        <f t="shared" si="84"/>
        <v>2.2669404517453797</v>
      </c>
      <c r="AL113" s="106">
        <f t="shared" si="85"/>
        <v>0</v>
      </c>
      <c r="AM113" s="106">
        <f t="shared" si="86"/>
        <v>14.948665297741274</v>
      </c>
      <c r="AN113" s="102">
        <v>1</v>
      </c>
      <c r="AO113" s="102">
        <v>1</v>
      </c>
      <c r="AP113" s="128">
        <v>36748</v>
      </c>
      <c r="AQ113" s="128">
        <v>36777</v>
      </c>
      <c r="AR113" s="129">
        <f t="shared" si="87"/>
        <v>4.1428571428571432</v>
      </c>
      <c r="AS113" s="109">
        <v>15</v>
      </c>
      <c r="AT113" s="109">
        <v>3</v>
      </c>
      <c r="AU113" s="109">
        <f t="shared" si="78"/>
        <v>45</v>
      </c>
      <c r="AV113" s="109">
        <v>1</v>
      </c>
      <c r="AW113" s="109">
        <v>0</v>
      </c>
      <c r="AX113" s="109">
        <v>0</v>
      </c>
      <c r="AY113" s="109">
        <v>0</v>
      </c>
      <c r="AZ113" s="109">
        <v>0</v>
      </c>
      <c r="BA113" s="109">
        <v>1</v>
      </c>
      <c r="BB113" s="109">
        <v>0</v>
      </c>
      <c r="BC113" s="109">
        <v>2</v>
      </c>
      <c r="BD113" s="125">
        <v>1</v>
      </c>
      <c r="BE113" s="131">
        <v>37030</v>
      </c>
      <c r="BF113" s="124"/>
      <c r="BG113" s="124">
        <f t="shared" si="97"/>
        <v>37030</v>
      </c>
      <c r="BH113" s="124"/>
      <c r="BI113" s="102" t="s">
        <v>82</v>
      </c>
      <c r="BJ113" s="100">
        <f t="shared" si="88"/>
        <v>9.6919917864476393</v>
      </c>
      <c r="BK113" s="100">
        <f t="shared" si="89"/>
        <v>295.00000000000006</v>
      </c>
      <c r="BL113" s="100">
        <v>0</v>
      </c>
      <c r="BM113" s="110"/>
      <c r="BN113" s="100"/>
      <c r="BO113" s="100">
        <f t="shared" ref="BO113:BO122" si="98">BJ113</f>
        <v>9.6919917864476393</v>
      </c>
      <c r="BP113" s="100">
        <f t="shared" si="90"/>
        <v>295.00000000000006</v>
      </c>
      <c r="BQ113" s="100">
        <v>1</v>
      </c>
      <c r="BR113" s="110">
        <v>36942</v>
      </c>
      <c r="BS113" s="106">
        <f t="shared" si="94"/>
        <v>6.8008213552361401</v>
      </c>
      <c r="BT113" s="100">
        <f t="shared" si="91"/>
        <v>207</v>
      </c>
      <c r="BU113" s="100">
        <f>BQ113+BL113</f>
        <v>1</v>
      </c>
      <c r="BV113" s="100"/>
      <c r="BW113" s="100"/>
      <c r="BX113" s="110">
        <f>BR113</f>
        <v>36942</v>
      </c>
      <c r="BY113" s="100">
        <f t="shared" si="95"/>
        <v>6.8008213552361401</v>
      </c>
      <c r="BZ113" s="100">
        <f t="shared" si="77"/>
        <v>207</v>
      </c>
      <c r="CA113" s="100">
        <f t="shared" si="81"/>
        <v>1</v>
      </c>
      <c r="CB113" s="110">
        <f t="shared" si="96"/>
        <v>36942</v>
      </c>
      <c r="CC113" s="100">
        <f t="shared" si="92"/>
        <v>6.8008213552361401</v>
      </c>
      <c r="CD113" s="100">
        <f t="shared" si="93"/>
        <v>207</v>
      </c>
      <c r="CE113" s="132" t="s">
        <v>58</v>
      </c>
      <c r="CF113" s="126" t="s">
        <v>0</v>
      </c>
      <c r="CG113" s="100">
        <v>3</v>
      </c>
      <c r="CH113" s="115">
        <f>42.06</f>
        <v>42.06</v>
      </c>
      <c r="CI113" s="126" t="s">
        <v>38</v>
      </c>
      <c r="CJ113" s="126" t="s">
        <v>38</v>
      </c>
      <c r="CK113" s="126" t="s">
        <v>38</v>
      </c>
      <c r="CL113" s="126"/>
      <c r="CM113" s="126" t="s">
        <v>408</v>
      </c>
      <c r="CN113" s="110"/>
      <c r="CO113" s="100">
        <v>0</v>
      </c>
      <c r="CP113" s="110"/>
      <c r="CQ113" s="110" t="s">
        <v>408</v>
      </c>
      <c r="CR113" s="126"/>
    </row>
    <row r="114" spans="1:96" s="113" customFormat="1">
      <c r="A114" s="119" t="s">
        <v>299</v>
      </c>
      <c r="B114" s="119" t="s">
        <v>56</v>
      </c>
      <c r="C114" s="120">
        <v>105</v>
      </c>
      <c r="D114" s="96">
        <v>112</v>
      </c>
      <c r="E114" s="120">
        <v>9700</v>
      </c>
      <c r="F114" s="121">
        <v>10916</v>
      </c>
      <c r="G114" s="122">
        <v>2242101</v>
      </c>
      <c r="H114" s="123" t="s">
        <v>121</v>
      </c>
      <c r="I114" s="124">
        <v>36749</v>
      </c>
      <c r="J114" s="122">
        <f t="shared" si="82"/>
        <v>70.726899383983579</v>
      </c>
      <c r="K114" s="125">
        <v>0</v>
      </c>
      <c r="L114" s="123" t="s">
        <v>49</v>
      </c>
      <c r="M114" s="119" t="s">
        <v>64</v>
      </c>
      <c r="N114" s="120" t="s">
        <v>107</v>
      </c>
      <c r="O114" s="120">
        <v>1</v>
      </c>
      <c r="P114" s="120">
        <v>0</v>
      </c>
      <c r="Q114" s="120">
        <v>0</v>
      </c>
      <c r="R114" s="120">
        <v>0</v>
      </c>
      <c r="S114" s="120">
        <v>0</v>
      </c>
      <c r="T114" s="126" t="s">
        <v>155</v>
      </c>
      <c r="U114" s="103" t="s">
        <v>402</v>
      </c>
      <c r="V114" s="103">
        <v>1</v>
      </c>
      <c r="W114" s="103">
        <v>0</v>
      </c>
      <c r="X114" s="103">
        <v>0</v>
      </c>
      <c r="Y114" s="103">
        <v>0</v>
      </c>
      <c r="Z114" s="103">
        <v>0</v>
      </c>
      <c r="AA114" s="103">
        <v>0</v>
      </c>
      <c r="AB114" s="105">
        <v>36052</v>
      </c>
      <c r="AC114" s="105">
        <v>36372</v>
      </c>
      <c r="AD114" s="106">
        <f t="shared" si="83"/>
        <v>10.513347022587268</v>
      </c>
      <c r="AE114" s="106">
        <v>1</v>
      </c>
      <c r="AF114" s="106">
        <v>0</v>
      </c>
      <c r="AG114" s="105" t="s">
        <v>387</v>
      </c>
      <c r="AH114" s="100">
        <v>1</v>
      </c>
      <c r="AI114" s="127" t="s">
        <v>327</v>
      </c>
      <c r="AJ114" s="105">
        <v>36700</v>
      </c>
      <c r="AK114" s="106">
        <f t="shared" si="84"/>
        <v>1.6098562628336757</v>
      </c>
      <c r="AL114" s="106">
        <f t="shared" si="85"/>
        <v>10.776180698151951</v>
      </c>
      <c r="AM114" s="106">
        <f t="shared" si="86"/>
        <v>22.899383983572896</v>
      </c>
      <c r="AN114" s="102">
        <v>4</v>
      </c>
      <c r="AO114" s="102">
        <v>0</v>
      </c>
      <c r="AP114" s="128">
        <v>36788</v>
      </c>
      <c r="AQ114" s="128">
        <v>36824</v>
      </c>
      <c r="AR114" s="129">
        <f t="shared" si="87"/>
        <v>5.1428571428571432</v>
      </c>
      <c r="AS114" s="109">
        <v>25</v>
      </c>
      <c r="AT114" s="109">
        <v>2.4</v>
      </c>
      <c r="AU114" s="109">
        <f t="shared" si="78"/>
        <v>60</v>
      </c>
      <c r="AV114" s="109">
        <v>1</v>
      </c>
      <c r="AW114" s="109">
        <v>1</v>
      </c>
      <c r="AX114" s="109">
        <v>0</v>
      </c>
      <c r="AY114" s="109">
        <v>0</v>
      </c>
      <c r="AZ114" s="109">
        <v>0</v>
      </c>
      <c r="BA114" s="109">
        <v>0</v>
      </c>
      <c r="BB114" s="109">
        <v>0</v>
      </c>
      <c r="BC114" s="109">
        <v>2</v>
      </c>
      <c r="BD114" s="125">
        <v>1</v>
      </c>
      <c r="BE114" s="131">
        <v>37208</v>
      </c>
      <c r="BF114" s="124"/>
      <c r="BG114" s="124">
        <f t="shared" si="97"/>
        <v>37208</v>
      </c>
      <c r="BH114" s="124"/>
      <c r="BI114" s="102" t="s">
        <v>87</v>
      </c>
      <c r="BJ114" s="100">
        <f t="shared" si="88"/>
        <v>15.080082135523615</v>
      </c>
      <c r="BK114" s="100">
        <f t="shared" si="89"/>
        <v>459</v>
      </c>
      <c r="BL114" s="100">
        <v>1</v>
      </c>
      <c r="BM114" s="110">
        <v>37008</v>
      </c>
      <c r="BN114" s="100">
        <f>(BM114-AQ114)*12/365.25</f>
        <v>6.0451745379876796</v>
      </c>
      <c r="BO114" s="100">
        <f t="shared" si="98"/>
        <v>15.080082135523615</v>
      </c>
      <c r="BP114" s="100">
        <f t="shared" si="90"/>
        <v>459</v>
      </c>
      <c r="BQ114" s="100">
        <v>1</v>
      </c>
      <c r="BR114" s="110">
        <v>37099</v>
      </c>
      <c r="BS114" s="106">
        <f t="shared" si="94"/>
        <v>11.498973305954825</v>
      </c>
      <c r="BT114" s="100">
        <f t="shared" si="91"/>
        <v>350</v>
      </c>
      <c r="BU114" s="100">
        <v>1</v>
      </c>
      <c r="BV114" s="100"/>
      <c r="BW114" s="100"/>
      <c r="BX114" s="110">
        <v>37008</v>
      </c>
      <c r="BY114" s="100">
        <f t="shared" si="95"/>
        <v>8.5092402464065717</v>
      </c>
      <c r="BZ114" s="100">
        <f t="shared" si="77"/>
        <v>259.00000000000006</v>
      </c>
      <c r="CA114" s="100">
        <f t="shared" si="81"/>
        <v>1</v>
      </c>
      <c r="CB114" s="110">
        <v>37099</v>
      </c>
      <c r="CC114" s="100">
        <f t="shared" si="92"/>
        <v>8.5092402464065717</v>
      </c>
      <c r="CD114" s="100">
        <f t="shared" si="93"/>
        <v>259.00000000000006</v>
      </c>
      <c r="CE114" s="132" t="s">
        <v>38</v>
      </c>
      <c r="CF114" s="126" t="s">
        <v>38</v>
      </c>
      <c r="CG114" s="100">
        <v>3</v>
      </c>
      <c r="CH114" s="115">
        <f>6.97+2+5.81+10.12</f>
        <v>24.9</v>
      </c>
      <c r="CI114" s="126" t="s">
        <v>38</v>
      </c>
      <c r="CJ114" s="126" t="s">
        <v>38</v>
      </c>
      <c r="CK114" s="126" t="s">
        <v>38</v>
      </c>
      <c r="CL114" s="126"/>
      <c r="CM114" s="126" t="s">
        <v>408</v>
      </c>
      <c r="CN114" s="110"/>
      <c r="CO114" s="100">
        <v>0</v>
      </c>
      <c r="CP114" s="110"/>
      <c r="CQ114" s="110" t="s">
        <v>408</v>
      </c>
      <c r="CR114" s="126"/>
    </row>
    <row r="115" spans="1:96" s="113" customFormat="1" ht="25.5">
      <c r="A115" s="119" t="s">
        <v>45</v>
      </c>
      <c r="B115" s="119" t="s">
        <v>216</v>
      </c>
      <c r="C115" s="120">
        <v>108</v>
      </c>
      <c r="D115" s="96">
        <v>113</v>
      </c>
      <c r="E115" s="120">
        <v>9700</v>
      </c>
      <c r="F115" s="121">
        <v>14606</v>
      </c>
      <c r="G115" s="122">
        <v>651626</v>
      </c>
      <c r="H115" s="123" t="s">
        <v>121</v>
      </c>
      <c r="I115" s="124">
        <v>36755</v>
      </c>
      <c r="J115" s="122">
        <f t="shared" si="82"/>
        <v>60.640657084188909</v>
      </c>
      <c r="K115" s="125">
        <v>0</v>
      </c>
      <c r="L115" s="123" t="s">
        <v>49</v>
      </c>
      <c r="M115" s="119" t="s">
        <v>327</v>
      </c>
      <c r="N115" s="120" t="s">
        <v>510</v>
      </c>
      <c r="O115" s="120">
        <v>0</v>
      </c>
      <c r="P115" s="120">
        <v>1</v>
      </c>
      <c r="Q115" s="120">
        <v>0</v>
      </c>
      <c r="R115" s="120">
        <v>0</v>
      </c>
      <c r="S115" s="120">
        <v>0</v>
      </c>
      <c r="T115" s="126" t="s">
        <v>155</v>
      </c>
      <c r="U115" s="103" t="s">
        <v>402</v>
      </c>
      <c r="V115" s="103">
        <v>1</v>
      </c>
      <c r="W115" s="103">
        <v>0</v>
      </c>
      <c r="X115" s="103">
        <v>0</v>
      </c>
      <c r="Y115" s="103">
        <v>0</v>
      </c>
      <c r="Z115" s="103">
        <v>0</v>
      </c>
      <c r="AA115" s="103">
        <v>0</v>
      </c>
      <c r="AB115" s="105">
        <v>36677</v>
      </c>
      <c r="AC115" s="105">
        <v>36677</v>
      </c>
      <c r="AD115" s="106">
        <f t="shared" si="83"/>
        <v>0</v>
      </c>
      <c r="AE115" s="106">
        <v>0</v>
      </c>
      <c r="AF115" s="106">
        <v>0</v>
      </c>
      <c r="AG115" s="105" t="s">
        <v>408</v>
      </c>
      <c r="AH115" s="100">
        <v>0</v>
      </c>
      <c r="AI115" s="127" t="s">
        <v>184</v>
      </c>
      <c r="AJ115" s="105">
        <v>36677</v>
      </c>
      <c r="AK115" s="106">
        <f t="shared" si="84"/>
        <v>2.5626283367556466</v>
      </c>
      <c r="AL115" s="106">
        <f t="shared" si="85"/>
        <v>0</v>
      </c>
      <c r="AM115" s="106">
        <f t="shared" si="86"/>
        <v>2.5626283367556466</v>
      </c>
      <c r="AN115" s="102">
        <v>4</v>
      </c>
      <c r="AO115" s="102">
        <v>0</v>
      </c>
      <c r="AP115" s="128">
        <v>36797</v>
      </c>
      <c r="AQ115" s="128">
        <v>36817</v>
      </c>
      <c r="AR115" s="129">
        <f t="shared" si="87"/>
        <v>2.8571428571428572</v>
      </c>
      <c r="AS115" s="109">
        <v>10</v>
      </c>
      <c r="AT115" s="109">
        <v>5</v>
      </c>
      <c r="AU115" s="109">
        <f t="shared" si="78"/>
        <v>50</v>
      </c>
      <c r="AV115" s="109">
        <v>1</v>
      </c>
      <c r="AW115" s="109">
        <v>1</v>
      </c>
      <c r="AX115" s="109">
        <v>0</v>
      </c>
      <c r="AY115" s="109">
        <v>0</v>
      </c>
      <c r="AZ115" s="109">
        <v>0</v>
      </c>
      <c r="BA115" s="109">
        <v>1</v>
      </c>
      <c r="BB115" s="109">
        <v>0</v>
      </c>
      <c r="BC115" s="109">
        <v>3</v>
      </c>
      <c r="BD115" s="125">
        <v>1</v>
      </c>
      <c r="BE115" s="131">
        <v>36975</v>
      </c>
      <c r="BF115" s="124"/>
      <c r="BG115" s="124">
        <f t="shared" si="97"/>
        <v>36975</v>
      </c>
      <c r="BH115" s="124"/>
      <c r="BI115" s="102" t="s">
        <v>82</v>
      </c>
      <c r="BJ115" s="100">
        <f t="shared" si="88"/>
        <v>7.2279260780287471</v>
      </c>
      <c r="BK115" s="100">
        <f t="shared" si="89"/>
        <v>220</v>
      </c>
      <c r="BL115" s="100">
        <v>0</v>
      </c>
      <c r="BM115" s="110"/>
      <c r="BN115" s="100"/>
      <c r="BO115" s="100">
        <f t="shared" si="98"/>
        <v>7.2279260780287471</v>
      </c>
      <c r="BP115" s="100">
        <f t="shared" si="90"/>
        <v>220</v>
      </c>
      <c r="BQ115" s="100">
        <v>1</v>
      </c>
      <c r="BR115" s="110">
        <v>36909</v>
      </c>
      <c r="BS115" s="106">
        <f t="shared" si="94"/>
        <v>5.0595482546201236</v>
      </c>
      <c r="BT115" s="100">
        <f t="shared" si="91"/>
        <v>154.00000000000003</v>
      </c>
      <c r="BU115" s="100">
        <v>1</v>
      </c>
      <c r="BV115" s="100"/>
      <c r="BW115" s="100"/>
      <c r="BX115" s="110">
        <f>BR115</f>
        <v>36909</v>
      </c>
      <c r="BY115" s="100">
        <f t="shared" si="95"/>
        <v>5.0595482546201236</v>
      </c>
      <c r="BZ115" s="100">
        <f t="shared" ref="BZ115:BZ123" si="99">BY115*365.25/12</f>
        <v>154.00000000000003</v>
      </c>
      <c r="CA115" s="100">
        <f t="shared" si="81"/>
        <v>1</v>
      </c>
      <c r="CB115" s="110">
        <f t="shared" ref="CB115:CB123" si="100">BX115</f>
        <v>36909</v>
      </c>
      <c r="CC115" s="100">
        <f t="shared" si="92"/>
        <v>5.0595482546201236</v>
      </c>
      <c r="CD115" s="100">
        <f t="shared" si="93"/>
        <v>154.00000000000003</v>
      </c>
      <c r="CE115" s="132" t="s">
        <v>38</v>
      </c>
      <c r="CF115" s="126" t="s">
        <v>38</v>
      </c>
      <c r="CG115" s="100">
        <v>5</v>
      </c>
      <c r="CH115" s="115">
        <f>124.86+15.27+55.31</f>
        <v>195.44</v>
      </c>
      <c r="CI115" s="126" t="s">
        <v>38</v>
      </c>
      <c r="CJ115" s="126" t="s">
        <v>38</v>
      </c>
      <c r="CK115" s="126" t="s">
        <v>38</v>
      </c>
      <c r="CL115" s="126"/>
      <c r="CM115" s="126" t="s">
        <v>408</v>
      </c>
      <c r="CN115" s="110"/>
      <c r="CO115" s="100">
        <v>0</v>
      </c>
      <c r="CP115" s="110"/>
      <c r="CQ115" s="110" t="s">
        <v>408</v>
      </c>
      <c r="CR115" s="126"/>
    </row>
    <row r="116" spans="1:96" s="113" customFormat="1" ht="25.5">
      <c r="A116" s="119" t="s">
        <v>191</v>
      </c>
      <c r="B116" s="119" t="s">
        <v>248</v>
      </c>
      <c r="C116" s="120">
        <v>111</v>
      </c>
      <c r="D116" s="96">
        <v>114</v>
      </c>
      <c r="E116" s="120">
        <v>9700</v>
      </c>
      <c r="F116" s="121">
        <v>19542</v>
      </c>
      <c r="G116" s="122">
        <v>3108234</v>
      </c>
      <c r="H116" s="123" t="s">
        <v>50</v>
      </c>
      <c r="I116" s="124">
        <v>36769</v>
      </c>
      <c r="J116" s="122">
        <f t="shared" si="82"/>
        <v>47.16495550992471</v>
      </c>
      <c r="K116" s="125">
        <v>1</v>
      </c>
      <c r="L116" s="123" t="s">
        <v>190</v>
      </c>
      <c r="M116" s="119" t="s">
        <v>327</v>
      </c>
      <c r="N116" s="120" t="s">
        <v>510</v>
      </c>
      <c r="O116" s="120">
        <v>0</v>
      </c>
      <c r="P116" s="120">
        <v>1</v>
      </c>
      <c r="Q116" s="120">
        <v>0</v>
      </c>
      <c r="R116" s="120">
        <v>0</v>
      </c>
      <c r="S116" s="120">
        <v>0</v>
      </c>
      <c r="T116" s="126" t="s">
        <v>134</v>
      </c>
      <c r="U116" s="103" t="s">
        <v>509</v>
      </c>
      <c r="V116" s="103">
        <v>0</v>
      </c>
      <c r="W116" s="103">
        <v>0</v>
      </c>
      <c r="X116" s="103">
        <v>0</v>
      </c>
      <c r="Y116" s="103">
        <v>0</v>
      </c>
      <c r="Z116" s="103">
        <v>0</v>
      </c>
      <c r="AA116" s="103">
        <v>0</v>
      </c>
      <c r="AB116" s="105">
        <v>36498</v>
      </c>
      <c r="AC116" s="105">
        <v>36498</v>
      </c>
      <c r="AD116" s="106">
        <f t="shared" si="83"/>
        <v>0</v>
      </c>
      <c r="AE116" s="106">
        <v>1</v>
      </c>
      <c r="AF116" s="106">
        <v>1</v>
      </c>
      <c r="AG116" s="105" t="s">
        <v>389</v>
      </c>
      <c r="AH116" s="100">
        <v>1</v>
      </c>
      <c r="AI116" s="127" t="s">
        <v>327</v>
      </c>
      <c r="AJ116" s="105">
        <v>36498</v>
      </c>
      <c r="AK116" s="106">
        <f t="shared" si="84"/>
        <v>8.9034907597535931</v>
      </c>
      <c r="AL116" s="106">
        <f t="shared" si="85"/>
        <v>0</v>
      </c>
      <c r="AM116" s="106">
        <f t="shared" si="86"/>
        <v>8.9034907597535931</v>
      </c>
      <c r="AN116" s="102">
        <v>2</v>
      </c>
      <c r="AO116" s="102">
        <v>0</v>
      </c>
      <c r="AP116" s="128">
        <v>36791</v>
      </c>
      <c r="AQ116" s="128">
        <v>36804</v>
      </c>
      <c r="AR116" s="129">
        <f t="shared" si="87"/>
        <v>1.8571428571428572</v>
      </c>
      <c r="AS116" s="109">
        <v>10</v>
      </c>
      <c r="AT116" s="109">
        <v>5</v>
      </c>
      <c r="AU116" s="109">
        <f t="shared" si="78"/>
        <v>50</v>
      </c>
      <c r="AV116" s="109">
        <v>1</v>
      </c>
      <c r="AW116" s="109">
        <v>0</v>
      </c>
      <c r="AX116" s="109">
        <v>0</v>
      </c>
      <c r="AY116" s="109">
        <v>0</v>
      </c>
      <c r="AZ116" s="109">
        <v>0</v>
      </c>
      <c r="BA116" s="109">
        <v>0</v>
      </c>
      <c r="BB116" s="109">
        <v>0</v>
      </c>
      <c r="BC116" s="109">
        <v>1</v>
      </c>
      <c r="BD116" s="125">
        <v>1</v>
      </c>
      <c r="BE116" s="131">
        <v>37408</v>
      </c>
      <c r="BF116" s="124"/>
      <c r="BG116" s="124">
        <f t="shared" si="97"/>
        <v>37408</v>
      </c>
      <c r="BH116" s="124"/>
      <c r="BI116" s="102"/>
      <c r="BJ116" s="100">
        <f t="shared" si="88"/>
        <v>20.993839835728952</v>
      </c>
      <c r="BK116" s="100">
        <f t="shared" si="89"/>
        <v>639</v>
      </c>
      <c r="BL116" s="100">
        <v>0</v>
      </c>
      <c r="BM116" s="110"/>
      <c r="BN116" s="100"/>
      <c r="BO116" s="100">
        <f t="shared" si="98"/>
        <v>20.993839835728952</v>
      </c>
      <c r="BP116" s="100">
        <f t="shared" si="90"/>
        <v>639</v>
      </c>
      <c r="BQ116" s="100">
        <v>1</v>
      </c>
      <c r="BR116" s="110">
        <v>37110</v>
      </c>
      <c r="BS116" s="106">
        <f t="shared" si="94"/>
        <v>11.203285420944558</v>
      </c>
      <c r="BT116" s="100">
        <f t="shared" si="91"/>
        <v>341</v>
      </c>
      <c r="BU116" s="100">
        <v>1</v>
      </c>
      <c r="BV116" s="100"/>
      <c r="BW116" s="100"/>
      <c r="BX116" s="110">
        <v>37110</v>
      </c>
      <c r="BY116" s="100">
        <f t="shared" si="95"/>
        <v>11.203285420944558</v>
      </c>
      <c r="BZ116" s="100">
        <f t="shared" si="99"/>
        <v>341</v>
      </c>
      <c r="CA116" s="100">
        <f t="shared" si="81"/>
        <v>1</v>
      </c>
      <c r="CB116" s="110">
        <f t="shared" si="100"/>
        <v>37110</v>
      </c>
      <c r="CC116" s="100">
        <f t="shared" si="92"/>
        <v>11.203285420944558</v>
      </c>
      <c r="CD116" s="100">
        <f t="shared" si="93"/>
        <v>341</v>
      </c>
      <c r="CE116" s="132"/>
      <c r="CF116" s="126"/>
      <c r="CG116" s="100">
        <v>3</v>
      </c>
      <c r="CH116" s="115">
        <f>35.65+2.1</f>
        <v>37.75</v>
      </c>
      <c r="CI116" s="126" t="s">
        <v>135</v>
      </c>
      <c r="CJ116" s="126" t="s">
        <v>131</v>
      </c>
      <c r="CK116" s="126" t="s">
        <v>38</v>
      </c>
      <c r="CL116" s="126"/>
      <c r="CM116" s="126" t="s">
        <v>408</v>
      </c>
      <c r="CN116" s="110"/>
      <c r="CO116" s="100">
        <v>0</v>
      </c>
      <c r="CP116" s="110"/>
      <c r="CQ116" s="110" t="s">
        <v>408</v>
      </c>
      <c r="CR116" s="126"/>
    </row>
    <row r="117" spans="1:96" s="113" customFormat="1" ht="25.5">
      <c r="A117" s="119" t="s">
        <v>17</v>
      </c>
      <c r="B117" s="119" t="s">
        <v>324</v>
      </c>
      <c r="C117" s="120">
        <v>114</v>
      </c>
      <c r="D117" s="96">
        <v>115</v>
      </c>
      <c r="E117" s="120">
        <v>9700</v>
      </c>
      <c r="F117" s="121">
        <v>14012</v>
      </c>
      <c r="G117" s="122">
        <v>2250674</v>
      </c>
      <c r="H117" s="123" t="s">
        <v>121</v>
      </c>
      <c r="I117" s="124">
        <v>36790</v>
      </c>
      <c r="J117" s="122">
        <f t="shared" si="82"/>
        <v>62.362765229295</v>
      </c>
      <c r="K117" s="125">
        <v>0</v>
      </c>
      <c r="L117" s="123" t="s">
        <v>49</v>
      </c>
      <c r="M117" s="119" t="s">
        <v>220</v>
      </c>
      <c r="N117" s="120" t="s">
        <v>510</v>
      </c>
      <c r="O117" s="120">
        <v>0</v>
      </c>
      <c r="P117" s="120">
        <v>1</v>
      </c>
      <c r="Q117" s="120">
        <v>0</v>
      </c>
      <c r="R117" s="120">
        <v>0</v>
      </c>
      <c r="S117" s="120">
        <v>0</v>
      </c>
      <c r="T117" s="126" t="s">
        <v>155</v>
      </c>
      <c r="U117" s="103" t="s">
        <v>402</v>
      </c>
      <c r="V117" s="103">
        <v>1</v>
      </c>
      <c r="W117" s="103">
        <v>0</v>
      </c>
      <c r="X117" s="103">
        <v>0</v>
      </c>
      <c r="Y117" s="103">
        <v>0</v>
      </c>
      <c r="Z117" s="103">
        <v>0</v>
      </c>
      <c r="AA117" s="103">
        <v>0</v>
      </c>
      <c r="AB117" s="105">
        <v>36316</v>
      </c>
      <c r="AC117" s="105">
        <v>36754</v>
      </c>
      <c r="AD117" s="106">
        <f t="shared" si="83"/>
        <v>14.390143737166325</v>
      </c>
      <c r="AE117" s="106">
        <v>0</v>
      </c>
      <c r="AF117" s="106">
        <v>0</v>
      </c>
      <c r="AG117" s="105" t="s">
        <v>388</v>
      </c>
      <c r="AH117" s="100">
        <v>0</v>
      </c>
      <c r="AI117" s="127" t="s">
        <v>315</v>
      </c>
      <c r="AJ117" s="105">
        <v>36754</v>
      </c>
      <c r="AK117" s="106">
        <f t="shared" si="84"/>
        <v>1.1827515400410678</v>
      </c>
      <c r="AL117" s="106">
        <f t="shared" si="85"/>
        <v>0</v>
      </c>
      <c r="AM117" s="106">
        <f t="shared" si="86"/>
        <v>15.572895277207392</v>
      </c>
      <c r="AN117" s="102">
        <v>1</v>
      </c>
      <c r="AO117" s="102">
        <v>1</v>
      </c>
      <c r="AP117" s="128">
        <v>36816</v>
      </c>
      <c r="AQ117" s="128">
        <v>36827</v>
      </c>
      <c r="AR117" s="129">
        <f t="shared" si="87"/>
        <v>1.5714285714285714</v>
      </c>
      <c r="AS117" s="109">
        <v>10</v>
      </c>
      <c r="AT117" s="109">
        <v>5</v>
      </c>
      <c r="AU117" s="109">
        <f t="shared" si="78"/>
        <v>50</v>
      </c>
      <c r="AV117" s="109">
        <v>0</v>
      </c>
      <c r="AW117" s="109">
        <v>0</v>
      </c>
      <c r="AX117" s="109">
        <v>1</v>
      </c>
      <c r="AY117" s="109">
        <v>0</v>
      </c>
      <c r="AZ117" s="109">
        <v>0</v>
      </c>
      <c r="BA117" s="109">
        <v>0</v>
      </c>
      <c r="BB117" s="109">
        <v>0</v>
      </c>
      <c r="BC117" s="109">
        <v>1</v>
      </c>
      <c r="BD117" s="125">
        <v>1</v>
      </c>
      <c r="BE117" s="131">
        <v>37413</v>
      </c>
      <c r="BF117" s="124"/>
      <c r="BG117" s="124">
        <f t="shared" si="97"/>
        <v>37413</v>
      </c>
      <c r="BH117" s="124"/>
      <c r="BI117" s="102" t="s">
        <v>82</v>
      </c>
      <c r="BJ117" s="100">
        <f t="shared" si="88"/>
        <v>20.468172484599592</v>
      </c>
      <c r="BK117" s="100">
        <f t="shared" si="89"/>
        <v>623.00000000000011</v>
      </c>
      <c r="BL117" s="100">
        <v>0</v>
      </c>
      <c r="BM117" s="110"/>
      <c r="BN117" s="100"/>
      <c r="BO117" s="100">
        <f t="shared" si="98"/>
        <v>20.468172484599592</v>
      </c>
      <c r="BP117" s="100">
        <f t="shared" si="90"/>
        <v>623.00000000000011</v>
      </c>
      <c r="BQ117" s="100">
        <v>1</v>
      </c>
      <c r="BR117" s="110">
        <v>37191</v>
      </c>
      <c r="BS117" s="106">
        <f t="shared" si="94"/>
        <v>13.174537987679672</v>
      </c>
      <c r="BT117" s="100">
        <f t="shared" si="91"/>
        <v>401</v>
      </c>
      <c r="BU117" s="100">
        <f>BQ117+BL117</f>
        <v>1</v>
      </c>
      <c r="BV117" s="100"/>
      <c r="BW117" s="100"/>
      <c r="BX117" s="110">
        <f>BR117</f>
        <v>37191</v>
      </c>
      <c r="BY117" s="100">
        <f t="shared" si="95"/>
        <v>13.174537987679672</v>
      </c>
      <c r="BZ117" s="100">
        <f t="shared" si="99"/>
        <v>401</v>
      </c>
      <c r="CA117" s="100">
        <f t="shared" si="81"/>
        <v>1</v>
      </c>
      <c r="CB117" s="110">
        <f t="shared" si="100"/>
        <v>37191</v>
      </c>
      <c r="CC117" s="100">
        <f t="shared" si="92"/>
        <v>13.174537987679672</v>
      </c>
      <c r="CD117" s="100">
        <f t="shared" si="93"/>
        <v>401</v>
      </c>
      <c r="CE117" s="132" t="s">
        <v>38</v>
      </c>
      <c r="CF117" s="126" t="s">
        <v>38</v>
      </c>
      <c r="CG117" s="100">
        <v>3</v>
      </c>
      <c r="CH117" s="115">
        <v>32.31</v>
      </c>
      <c r="CI117" s="126" t="s">
        <v>38</v>
      </c>
      <c r="CJ117" s="126" t="s">
        <v>75</v>
      </c>
      <c r="CK117" s="126" t="s">
        <v>108</v>
      </c>
      <c r="CL117" s="126"/>
      <c r="CM117" s="126" t="s">
        <v>408</v>
      </c>
      <c r="CN117" s="110"/>
      <c r="CO117" s="100">
        <v>0</v>
      </c>
      <c r="CP117" s="110"/>
      <c r="CQ117" s="110" t="s">
        <v>408</v>
      </c>
      <c r="CR117" s="126"/>
    </row>
    <row r="118" spans="1:96" s="113" customFormat="1" ht="25.5">
      <c r="A118" s="119" t="s">
        <v>42</v>
      </c>
      <c r="B118" s="119" t="s">
        <v>43</v>
      </c>
      <c r="C118" s="120">
        <v>119</v>
      </c>
      <c r="D118" s="96">
        <v>116</v>
      </c>
      <c r="E118" s="120">
        <v>9700</v>
      </c>
      <c r="F118" s="121">
        <v>18880</v>
      </c>
      <c r="G118" s="122">
        <v>315123</v>
      </c>
      <c r="H118" s="123" t="s">
        <v>50</v>
      </c>
      <c r="I118" s="124">
        <v>36820</v>
      </c>
      <c r="J118" s="122">
        <f t="shared" si="82"/>
        <v>49.117043121149898</v>
      </c>
      <c r="K118" s="125">
        <v>0</v>
      </c>
      <c r="L118" s="123" t="s">
        <v>190</v>
      </c>
      <c r="M118" s="119" t="s">
        <v>109</v>
      </c>
      <c r="N118" s="120" t="s">
        <v>504</v>
      </c>
      <c r="O118" s="120">
        <v>0</v>
      </c>
      <c r="P118" s="120">
        <v>0</v>
      </c>
      <c r="Q118" s="120">
        <v>0</v>
      </c>
      <c r="R118" s="120">
        <v>1</v>
      </c>
      <c r="S118" s="120">
        <v>0</v>
      </c>
      <c r="T118" s="126" t="s">
        <v>125</v>
      </c>
      <c r="U118" s="103" t="s">
        <v>504</v>
      </c>
      <c r="V118" s="103">
        <v>0</v>
      </c>
      <c r="W118" s="103">
        <v>0</v>
      </c>
      <c r="X118" s="103">
        <v>0</v>
      </c>
      <c r="Y118" s="103">
        <v>0</v>
      </c>
      <c r="Z118" s="103">
        <v>1</v>
      </c>
      <c r="AA118" s="103">
        <v>0</v>
      </c>
      <c r="AB118" s="105">
        <v>34864</v>
      </c>
      <c r="AC118" s="105">
        <v>35430</v>
      </c>
      <c r="AD118" s="106">
        <f t="shared" si="83"/>
        <v>18.595482546201232</v>
      </c>
      <c r="AE118" s="106">
        <v>1</v>
      </c>
      <c r="AF118" s="106">
        <v>0</v>
      </c>
      <c r="AG118" s="105" t="s">
        <v>390</v>
      </c>
      <c r="AH118" s="100">
        <v>1</v>
      </c>
      <c r="AI118" s="127" t="s">
        <v>327</v>
      </c>
      <c r="AJ118" s="105">
        <v>36233</v>
      </c>
      <c r="AK118" s="106">
        <f t="shared" si="84"/>
        <v>19.285420944558521</v>
      </c>
      <c r="AL118" s="106">
        <f t="shared" si="85"/>
        <v>26.381930184804926</v>
      </c>
      <c r="AM118" s="106">
        <f t="shared" si="86"/>
        <v>64.262833675564679</v>
      </c>
      <c r="AN118" s="102">
        <v>3</v>
      </c>
      <c r="AO118" s="102">
        <v>0</v>
      </c>
      <c r="AP118" s="128">
        <v>36840</v>
      </c>
      <c r="AQ118" s="128">
        <v>36853</v>
      </c>
      <c r="AR118" s="129">
        <f t="shared" si="87"/>
        <v>1.8571428571428572</v>
      </c>
      <c r="AS118" s="109">
        <v>10</v>
      </c>
      <c r="AT118" s="109">
        <v>5</v>
      </c>
      <c r="AU118" s="109">
        <f t="shared" si="78"/>
        <v>50</v>
      </c>
      <c r="AV118" s="109">
        <v>1</v>
      </c>
      <c r="AW118" s="109">
        <v>0</v>
      </c>
      <c r="AX118" s="109">
        <v>0</v>
      </c>
      <c r="AY118" s="109">
        <v>0</v>
      </c>
      <c r="AZ118" s="109">
        <v>0</v>
      </c>
      <c r="BA118" s="109">
        <v>0</v>
      </c>
      <c r="BB118" s="109">
        <v>0</v>
      </c>
      <c r="BC118" s="109">
        <v>1</v>
      </c>
      <c r="BD118" s="125">
        <v>1</v>
      </c>
      <c r="BE118" s="131">
        <v>37635</v>
      </c>
      <c r="BF118" s="124"/>
      <c r="BG118" s="124">
        <f t="shared" si="97"/>
        <v>37635</v>
      </c>
      <c r="BH118" s="124"/>
      <c r="BI118" s="102"/>
      <c r="BJ118" s="100">
        <f t="shared" si="88"/>
        <v>26.776180698151947</v>
      </c>
      <c r="BK118" s="100">
        <f t="shared" si="89"/>
        <v>814.99999999999989</v>
      </c>
      <c r="BL118" s="100">
        <v>0</v>
      </c>
      <c r="BM118" s="110"/>
      <c r="BN118" s="100"/>
      <c r="BO118" s="100">
        <f t="shared" si="98"/>
        <v>26.776180698151947</v>
      </c>
      <c r="BP118" s="100">
        <f t="shared" si="90"/>
        <v>814.99999999999989</v>
      </c>
      <c r="BQ118" s="100">
        <v>1</v>
      </c>
      <c r="BR118" s="110">
        <v>37047</v>
      </c>
      <c r="BS118" s="106">
        <f t="shared" si="94"/>
        <v>7.4579055441478443</v>
      </c>
      <c r="BT118" s="100">
        <f t="shared" si="91"/>
        <v>227</v>
      </c>
      <c r="BU118" s="100">
        <v>1</v>
      </c>
      <c r="BV118" s="100"/>
      <c r="BW118" s="100"/>
      <c r="BX118" s="110">
        <v>37047</v>
      </c>
      <c r="BY118" s="100">
        <f t="shared" si="95"/>
        <v>7.4579055441478443</v>
      </c>
      <c r="BZ118" s="100">
        <f t="shared" si="99"/>
        <v>227</v>
      </c>
      <c r="CA118" s="100">
        <f t="shared" si="81"/>
        <v>1</v>
      </c>
      <c r="CB118" s="110">
        <f t="shared" si="100"/>
        <v>37047</v>
      </c>
      <c r="CC118" s="100">
        <f t="shared" si="92"/>
        <v>7.4579055441478443</v>
      </c>
      <c r="CD118" s="100">
        <f t="shared" si="93"/>
        <v>227</v>
      </c>
      <c r="CE118" s="132"/>
      <c r="CF118" s="126"/>
      <c r="CG118" s="100">
        <v>1</v>
      </c>
      <c r="CH118" s="115">
        <f>2.7+1.7+3.3</f>
        <v>7.7</v>
      </c>
      <c r="CI118" s="126"/>
      <c r="CJ118" s="126"/>
      <c r="CK118" s="126" t="s">
        <v>383</v>
      </c>
      <c r="CL118" s="126"/>
      <c r="CM118" s="126" t="s">
        <v>408</v>
      </c>
      <c r="CN118" s="110"/>
      <c r="CO118" s="100">
        <v>0</v>
      </c>
      <c r="CP118" s="110"/>
      <c r="CQ118" s="110" t="s">
        <v>408</v>
      </c>
      <c r="CR118" s="126"/>
    </row>
    <row r="119" spans="1:96" s="113" customFormat="1" ht="25.5">
      <c r="A119" s="119" t="s">
        <v>78</v>
      </c>
      <c r="B119" s="119" t="s">
        <v>222</v>
      </c>
      <c r="C119" s="120">
        <v>123</v>
      </c>
      <c r="D119" s="96">
        <v>117</v>
      </c>
      <c r="E119" s="120">
        <v>9700</v>
      </c>
      <c r="F119" s="121">
        <v>9552</v>
      </c>
      <c r="G119" s="122">
        <v>3205493</v>
      </c>
      <c r="H119" s="123" t="s">
        <v>50</v>
      </c>
      <c r="I119" s="124">
        <v>36866</v>
      </c>
      <c r="J119" s="122">
        <f t="shared" si="82"/>
        <v>74.781656399726216</v>
      </c>
      <c r="K119" s="125">
        <v>0</v>
      </c>
      <c r="L119" s="123" t="s">
        <v>190</v>
      </c>
      <c r="M119" s="119" t="s">
        <v>265</v>
      </c>
      <c r="N119" s="120" t="s">
        <v>509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6" t="s">
        <v>10</v>
      </c>
      <c r="U119" s="103" t="s">
        <v>509</v>
      </c>
      <c r="V119" s="103">
        <v>0</v>
      </c>
      <c r="W119" s="103">
        <v>0</v>
      </c>
      <c r="X119" s="103">
        <v>0</v>
      </c>
      <c r="Y119" s="103">
        <v>0</v>
      </c>
      <c r="Z119" s="103">
        <v>0</v>
      </c>
      <c r="AA119" s="103">
        <v>0</v>
      </c>
      <c r="AB119" s="105">
        <v>35567</v>
      </c>
      <c r="AC119" s="105">
        <v>36596</v>
      </c>
      <c r="AD119" s="106">
        <f t="shared" si="83"/>
        <v>33.806981519507183</v>
      </c>
      <c r="AE119" s="106">
        <v>0</v>
      </c>
      <c r="AF119" s="106">
        <v>0</v>
      </c>
      <c r="AG119" s="105" t="s">
        <v>387</v>
      </c>
      <c r="AH119" s="100">
        <v>1</v>
      </c>
      <c r="AI119" s="127" t="s">
        <v>315</v>
      </c>
      <c r="AJ119" s="105">
        <v>36596</v>
      </c>
      <c r="AK119" s="106">
        <f t="shared" si="84"/>
        <v>8.8706365503080082</v>
      </c>
      <c r="AL119" s="106">
        <f t="shared" si="85"/>
        <v>0</v>
      </c>
      <c r="AM119" s="106">
        <f t="shared" si="86"/>
        <v>42.677618069815196</v>
      </c>
      <c r="AN119" s="102">
        <v>4</v>
      </c>
      <c r="AO119" s="102">
        <v>0</v>
      </c>
      <c r="AP119" s="128">
        <v>36868</v>
      </c>
      <c r="AQ119" s="128">
        <v>36881</v>
      </c>
      <c r="AR119" s="129">
        <f t="shared" si="87"/>
        <v>1.8571428571428572</v>
      </c>
      <c r="AS119" s="109">
        <v>10</v>
      </c>
      <c r="AT119" s="109">
        <v>5</v>
      </c>
      <c r="AU119" s="109">
        <f t="shared" si="78"/>
        <v>50</v>
      </c>
      <c r="AV119" s="109">
        <v>0</v>
      </c>
      <c r="AW119" s="109">
        <v>0</v>
      </c>
      <c r="AX119" s="109">
        <v>1</v>
      </c>
      <c r="AY119" s="109">
        <v>0</v>
      </c>
      <c r="AZ119" s="109">
        <v>0</v>
      </c>
      <c r="BA119" s="109">
        <v>0</v>
      </c>
      <c r="BB119" s="109">
        <v>0</v>
      </c>
      <c r="BC119" s="109">
        <v>1</v>
      </c>
      <c r="BD119" s="125">
        <v>1</v>
      </c>
      <c r="BE119" s="131">
        <v>37276</v>
      </c>
      <c r="BF119" s="124"/>
      <c r="BG119" s="124">
        <f t="shared" si="97"/>
        <v>37276</v>
      </c>
      <c r="BH119" s="124"/>
      <c r="BI119" s="102"/>
      <c r="BJ119" s="100">
        <f t="shared" si="88"/>
        <v>13.470225872689939</v>
      </c>
      <c r="BK119" s="100">
        <f t="shared" si="89"/>
        <v>410</v>
      </c>
      <c r="BL119" s="100">
        <v>0</v>
      </c>
      <c r="BM119" s="110"/>
      <c r="BN119" s="100"/>
      <c r="BO119" s="100">
        <f t="shared" si="98"/>
        <v>13.470225872689939</v>
      </c>
      <c r="BP119" s="100">
        <f t="shared" si="90"/>
        <v>410</v>
      </c>
      <c r="BQ119" s="100">
        <v>1</v>
      </c>
      <c r="BR119" s="110">
        <v>37212</v>
      </c>
      <c r="BS119" s="106">
        <f t="shared" si="94"/>
        <v>11.367556468172484</v>
      </c>
      <c r="BT119" s="100">
        <f t="shared" si="91"/>
        <v>346</v>
      </c>
      <c r="BU119" s="100">
        <v>1</v>
      </c>
      <c r="BV119" s="100"/>
      <c r="BW119" s="100"/>
      <c r="BX119" s="110">
        <v>37212</v>
      </c>
      <c r="BY119" s="100">
        <f t="shared" si="95"/>
        <v>11.367556468172484</v>
      </c>
      <c r="BZ119" s="100">
        <f t="shared" si="99"/>
        <v>346</v>
      </c>
      <c r="CA119" s="100">
        <f t="shared" si="81"/>
        <v>1</v>
      </c>
      <c r="CB119" s="110">
        <f t="shared" si="100"/>
        <v>37212</v>
      </c>
      <c r="CC119" s="100">
        <f t="shared" si="92"/>
        <v>11.367556468172484</v>
      </c>
      <c r="CD119" s="100">
        <f t="shared" si="93"/>
        <v>346</v>
      </c>
      <c r="CE119" s="132"/>
      <c r="CF119" s="126"/>
      <c r="CG119" s="100">
        <v>4</v>
      </c>
      <c r="CH119" s="115">
        <f>51.87+5.78+41.31+0.18</f>
        <v>99.140000000000015</v>
      </c>
      <c r="CI119" s="126"/>
      <c r="CJ119" s="126"/>
      <c r="CK119" s="126" t="s">
        <v>383</v>
      </c>
      <c r="CL119" s="126"/>
      <c r="CM119" s="126" t="s">
        <v>408</v>
      </c>
      <c r="CN119" s="110"/>
      <c r="CO119" s="100">
        <v>0</v>
      </c>
      <c r="CP119" s="110"/>
      <c r="CQ119" s="110" t="s">
        <v>408</v>
      </c>
      <c r="CR119" s="126"/>
    </row>
    <row r="120" spans="1:96" s="113" customFormat="1" ht="25.5">
      <c r="A120" s="119" t="s">
        <v>149</v>
      </c>
      <c r="B120" s="119" t="s">
        <v>150</v>
      </c>
      <c r="C120" s="120">
        <v>126</v>
      </c>
      <c r="D120" s="96">
        <v>118</v>
      </c>
      <c r="E120" s="120">
        <v>9700</v>
      </c>
      <c r="F120" s="121">
        <v>10485</v>
      </c>
      <c r="G120" s="122">
        <v>1315700</v>
      </c>
      <c r="H120" s="123" t="s">
        <v>121</v>
      </c>
      <c r="I120" s="124">
        <v>36888</v>
      </c>
      <c r="J120" s="122">
        <f t="shared" si="82"/>
        <v>72.28747433264887</v>
      </c>
      <c r="K120" s="125">
        <v>0</v>
      </c>
      <c r="L120" s="123" t="s">
        <v>34</v>
      </c>
      <c r="M120" s="119" t="s">
        <v>270</v>
      </c>
      <c r="N120" s="120" t="s">
        <v>511</v>
      </c>
      <c r="O120" s="120">
        <v>0</v>
      </c>
      <c r="P120" s="120">
        <v>0</v>
      </c>
      <c r="Q120" s="120">
        <v>0</v>
      </c>
      <c r="R120" s="120">
        <v>0</v>
      </c>
      <c r="S120" s="120">
        <v>1</v>
      </c>
      <c r="T120" s="126" t="s">
        <v>412</v>
      </c>
      <c r="U120" s="103" t="s">
        <v>505</v>
      </c>
      <c r="V120" s="103">
        <v>0</v>
      </c>
      <c r="W120" s="103">
        <v>0</v>
      </c>
      <c r="X120" s="103">
        <v>0</v>
      </c>
      <c r="Y120" s="103">
        <v>0</v>
      </c>
      <c r="Z120" s="103">
        <v>0</v>
      </c>
      <c r="AA120" s="103">
        <v>1</v>
      </c>
      <c r="AB120" s="105">
        <v>36233</v>
      </c>
      <c r="AC120" s="105">
        <v>36809</v>
      </c>
      <c r="AD120" s="106">
        <f t="shared" si="83"/>
        <v>18.924024640657084</v>
      </c>
      <c r="AE120" s="106">
        <v>0</v>
      </c>
      <c r="AF120" s="106">
        <v>0</v>
      </c>
      <c r="AG120" s="105" t="s">
        <v>391</v>
      </c>
      <c r="AH120" s="100">
        <v>0</v>
      </c>
      <c r="AI120" s="127" t="s">
        <v>315</v>
      </c>
      <c r="AJ120" s="105">
        <v>36809</v>
      </c>
      <c r="AK120" s="106">
        <f t="shared" si="84"/>
        <v>2.5954825462012319</v>
      </c>
      <c r="AL120" s="106">
        <f t="shared" si="85"/>
        <v>0</v>
      </c>
      <c r="AM120" s="106">
        <f t="shared" si="86"/>
        <v>21.519507186858316</v>
      </c>
      <c r="AN120" s="102">
        <v>1</v>
      </c>
      <c r="AO120" s="102">
        <v>1</v>
      </c>
      <c r="AP120" s="128">
        <v>36902</v>
      </c>
      <c r="AQ120" s="128">
        <v>36915</v>
      </c>
      <c r="AR120" s="129">
        <f t="shared" si="87"/>
        <v>1.8571428571428572</v>
      </c>
      <c r="AS120" s="109">
        <v>10</v>
      </c>
      <c r="AT120" s="109">
        <v>5</v>
      </c>
      <c r="AU120" s="109">
        <f>AT120*AS120</f>
        <v>50</v>
      </c>
      <c r="AV120" s="109">
        <v>0</v>
      </c>
      <c r="AW120" s="109">
        <v>0</v>
      </c>
      <c r="AX120" s="109">
        <v>1</v>
      </c>
      <c r="AY120" s="109">
        <v>0</v>
      </c>
      <c r="AZ120" s="109">
        <v>0</v>
      </c>
      <c r="BA120" s="109">
        <v>0</v>
      </c>
      <c r="BB120" s="109">
        <v>0</v>
      </c>
      <c r="BC120" s="109">
        <v>1</v>
      </c>
      <c r="BD120" s="125">
        <v>1</v>
      </c>
      <c r="BE120" s="131">
        <v>37550</v>
      </c>
      <c r="BF120" s="124"/>
      <c r="BG120" s="124">
        <f t="shared" si="97"/>
        <v>37550</v>
      </c>
      <c r="BH120" s="124"/>
      <c r="BI120" s="102" t="s">
        <v>82</v>
      </c>
      <c r="BJ120" s="100">
        <f t="shared" si="88"/>
        <v>21.749486652977414</v>
      </c>
      <c r="BK120" s="100">
        <f t="shared" si="89"/>
        <v>662</v>
      </c>
      <c r="BL120" s="100">
        <v>0</v>
      </c>
      <c r="BM120" s="110"/>
      <c r="BN120" s="100"/>
      <c r="BO120" s="100">
        <f t="shared" si="98"/>
        <v>21.749486652977414</v>
      </c>
      <c r="BP120" s="100">
        <f t="shared" si="90"/>
        <v>662</v>
      </c>
      <c r="BQ120" s="100">
        <v>1</v>
      </c>
      <c r="BR120" s="110">
        <v>37454</v>
      </c>
      <c r="BS120" s="106">
        <f t="shared" si="94"/>
        <v>18.595482546201232</v>
      </c>
      <c r="BT120" s="100">
        <f t="shared" si="91"/>
        <v>566</v>
      </c>
      <c r="BU120" s="100">
        <f>BQ120+BL120</f>
        <v>1</v>
      </c>
      <c r="BV120" s="100"/>
      <c r="BW120" s="100"/>
      <c r="BX120" s="110">
        <f>BR120</f>
        <v>37454</v>
      </c>
      <c r="BY120" s="100">
        <f t="shared" si="95"/>
        <v>18.595482546201232</v>
      </c>
      <c r="BZ120" s="100">
        <f t="shared" si="99"/>
        <v>566</v>
      </c>
      <c r="CA120" s="100">
        <f t="shared" si="81"/>
        <v>1</v>
      </c>
      <c r="CB120" s="110">
        <f t="shared" si="100"/>
        <v>37454</v>
      </c>
      <c r="CC120" s="100">
        <f t="shared" si="92"/>
        <v>18.595482546201232</v>
      </c>
      <c r="CD120" s="100">
        <f t="shared" si="93"/>
        <v>566</v>
      </c>
      <c r="CE120" s="132"/>
      <c r="CF120" s="126"/>
      <c r="CG120" s="100">
        <v>3</v>
      </c>
      <c r="CH120" s="115">
        <f>38.6</f>
        <v>38.6</v>
      </c>
      <c r="CI120" s="126"/>
      <c r="CJ120" s="126"/>
      <c r="CK120" s="126" t="s">
        <v>38</v>
      </c>
      <c r="CL120" s="126"/>
      <c r="CM120" s="126" t="s">
        <v>408</v>
      </c>
      <c r="CN120" s="110"/>
      <c r="CO120" s="100">
        <v>0</v>
      </c>
      <c r="CP120" s="110"/>
      <c r="CQ120" s="110" t="s">
        <v>408</v>
      </c>
      <c r="CR120" s="126"/>
    </row>
    <row r="121" spans="1:96" s="113" customFormat="1">
      <c r="A121" s="119" t="s">
        <v>151</v>
      </c>
      <c r="B121" s="119" t="s">
        <v>152</v>
      </c>
      <c r="C121" s="120">
        <v>127</v>
      </c>
      <c r="D121" s="96">
        <v>119</v>
      </c>
      <c r="E121" s="120">
        <v>9700</v>
      </c>
      <c r="F121" s="121">
        <v>18888</v>
      </c>
      <c r="G121" s="122">
        <v>2053328</v>
      </c>
      <c r="H121" s="123" t="s">
        <v>121</v>
      </c>
      <c r="I121" s="124">
        <v>36887</v>
      </c>
      <c r="J121" s="122">
        <f t="shared" si="82"/>
        <v>49.278576317590691</v>
      </c>
      <c r="K121" s="125">
        <v>0</v>
      </c>
      <c r="L121" s="123" t="s">
        <v>34</v>
      </c>
      <c r="M121" s="119" t="s">
        <v>124</v>
      </c>
      <c r="N121" s="120" t="s">
        <v>509</v>
      </c>
      <c r="O121" s="120">
        <v>0</v>
      </c>
      <c r="P121" s="120">
        <v>0</v>
      </c>
      <c r="Q121" s="120">
        <v>0</v>
      </c>
      <c r="R121" s="120">
        <v>0</v>
      </c>
      <c r="S121" s="120">
        <v>0</v>
      </c>
      <c r="T121" s="126" t="s">
        <v>124</v>
      </c>
      <c r="U121" s="103" t="s">
        <v>509</v>
      </c>
      <c r="V121" s="103">
        <v>0</v>
      </c>
      <c r="W121" s="103">
        <v>0</v>
      </c>
      <c r="X121" s="103">
        <v>0</v>
      </c>
      <c r="Y121" s="103">
        <v>0</v>
      </c>
      <c r="Z121" s="103">
        <v>0</v>
      </c>
      <c r="AA121" s="103">
        <v>0</v>
      </c>
      <c r="AB121" s="105">
        <v>35308</v>
      </c>
      <c r="AC121" s="105">
        <v>36853</v>
      </c>
      <c r="AD121" s="106">
        <f t="shared" si="83"/>
        <v>50.759753593429153</v>
      </c>
      <c r="AE121" s="106">
        <v>0</v>
      </c>
      <c r="AF121" s="106">
        <v>0</v>
      </c>
      <c r="AG121" s="105" t="s">
        <v>388</v>
      </c>
      <c r="AH121" s="100">
        <v>0</v>
      </c>
      <c r="AI121" s="127" t="s">
        <v>327</v>
      </c>
      <c r="AJ121" s="105">
        <v>36853</v>
      </c>
      <c r="AK121" s="106">
        <f t="shared" si="84"/>
        <v>1.1170431211498972</v>
      </c>
      <c r="AL121" s="106">
        <f t="shared" si="85"/>
        <v>0</v>
      </c>
      <c r="AM121" s="106">
        <f t="shared" si="86"/>
        <v>51.876796714579058</v>
      </c>
      <c r="AN121" s="102">
        <v>1</v>
      </c>
      <c r="AO121" s="102">
        <v>1</v>
      </c>
      <c r="AP121" s="128">
        <v>36896</v>
      </c>
      <c r="AQ121" s="128">
        <v>36909</v>
      </c>
      <c r="AR121" s="129">
        <f t="shared" si="87"/>
        <v>1.8571428571428572</v>
      </c>
      <c r="AS121" s="109">
        <v>10</v>
      </c>
      <c r="AT121" s="109">
        <v>5</v>
      </c>
      <c r="AU121" s="109">
        <f>AT121*AS121</f>
        <v>50</v>
      </c>
      <c r="AV121" s="109">
        <v>1</v>
      </c>
      <c r="AW121" s="109">
        <v>0</v>
      </c>
      <c r="AX121" s="109">
        <v>0</v>
      </c>
      <c r="AY121" s="109">
        <v>0</v>
      </c>
      <c r="AZ121" s="109">
        <v>0</v>
      </c>
      <c r="BA121" s="109">
        <v>0</v>
      </c>
      <c r="BB121" s="109">
        <v>0</v>
      </c>
      <c r="BC121" s="109">
        <v>1</v>
      </c>
      <c r="BD121" s="125">
        <v>1</v>
      </c>
      <c r="BE121" s="131">
        <v>37165</v>
      </c>
      <c r="BF121" s="124"/>
      <c r="BG121" s="124">
        <f t="shared" si="97"/>
        <v>37165</v>
      </c>
      <c r="BH121" s="124"/>
      <c r="BI121" s="102"/>
      <c r="BJ121" s="100">
        <f t="shared" si="88"/>
        <v>9.1334702258726903</v>
      </c>
      <c r="BK121" s="100">
        <f t="shared" si="89"/>
        <v>278</v>
      </c>
      <c r="BL121" s="100">
        <v>0</v>
      </c>
      <c r="BM121" s="110"/>
      <c r="BN121" s="100"/>
      <c r="BO121" s="100">
        <f t="shared" si="98"/>
        <v>9.1334702258726903</v>
      </c>
      <c r="BP121" s="100">
        <f t="shared" si="90"/>
        <v>278</v>
      </c>
      <c r="BQ121" s="116">
        <v>1</v>
      </c>
      <c r="BR121" s="117">
        <v>37164</v>
      </c>
      <c r="BS121" s="106">
        <f t="shared" si="94"/>
        <v>9.1006160164271055</v>
      </c>
      <c r="BT121" s="100">
        <f t="shared" si="91"/>
        <v>277.00000000000006</v>
      </c>
      <c r="BU121" s="100"/>
      <c r="BV121" s="100"/>
      <c r="BW121" s="100"/>
      <c r="BX121" s="110">
        <v>37164</v>
      </c>
      <c r="BY121" s="100">
        <f t="shared" si="95"/>
        <v>9.1006160164271055</v>
      </c>
      <c r="BZ121" s="100">
        <f t="shared" si="99"/>
        <v>277.00000000000006</v>
      </c>
      <c r="CA121" s="100">
        <v>1</v>
      </c>
      <c r="CB121" s="110">
        <f t="shared" si="100"/>
        <v>37164</v>
      </c>
      <c r="CC121" s="100">
        <f t="shared" si="92"/>
        <v>9.1006160164271055</v>
      </c>
      <c r="CD121" s="100">
        <f t="shared" si="93"/>
        <v>277.00000000000006</v>
      </c>
      <c r="CE121" s="132" t="s">
        <v>38</v>
      </c>
      <c r="CF121" s="126" t="s">
        <v>38</v>
      </c>
      <c r="CG121" s="100">
        <v>1</v>
      </c>
      <c r="CH121" s="115">
        <v>1.82</v>
      </c>
      <c r="CI121" s="126"/>
      <c r="CJ121" s="126" t="s">
        <v>38</v>
      </c>
      <c r="CK121" s="126" t="s">
        <v>38</v>
      </c>
      <c r="CL121" s="126"/>
      <c r="CM121" s="126" t="s">
        <v>408</v>
      </c>
      <c r="CN121" s="110"/>
      <c r="CO121" s="100">
        <v>0</v>
      </c>
      <c r="CP121" s="110"/>
      <c r="CQ121" s="110" t="s">
        <v>408</v>
      </c>
      <c r="CR121" s="126"/>
    </row>
    <row r="122" spans="1:96" s="113" customFormat="1" ht="25.5">
      <c r="A122" s="119" t="s">
        <v>63</v>
      </c>
      <c r="B122" s="119" t="s">
        <v>323</v>
      </c>
      <c r="C122" s="120">
        <v>130</v>
      </c>
      <c r="D122" s="96">
        <v>120</v>
      </c>
      <c r="E122" s="120">
        <v>9700</v>
      </c>
      <c r="F122" s="121">
        <v>19083</v>
      </c>
      <c r="G122" s="122">
        <v>2116368</v>
      </c>
      <c r="H122" s="123" t="s">
        <v>121</v>
      </c>
      <c r="I122" s="124">
        <v>36792</v>
      </c>
      <c r="J122" s="122">
        <f t="shared" si="82"/>
        <v>48.484599589322379</v>
      </c>
      <c r="K122" s="125">
        <v>0</v>
      </c>
      <c r="L122" s="123" t="s">
        <v>49</v>
      </c>
      <c r="M122" s="119" t="s">
        <v>64</v>
      </c>
      <c r="N122" s="120" t="s">
        <v>107</v>
      </c>
      <c r="O122" s="120">
        <v>1</v>
      </c>
      <c r="P122" s="120">
        <v>0</v>
      </c>
      <c r="Q122" s="120">
        <v>0</v>
      </c>
      <c r="R122" s="120">
        <v>0</v>
      </c>
      <c r="S122" s="120">
        <v>0</v>
      </c>
      <c r="T122" s="126" t="s">
        <v>155</v>
      </c>
      <c r="U122" s="103" t="s">
        <v>402</v>
      </c>
      <c r="V122" s="103">
        <v>1</v>
      </c>
      <c r="W122" s="103">
        <v>0</v>
      </c>
      <c r="X122" s="103">
        <v>0</v>
      </c>
      <c r="Y122" s="103">
        <v>0</v>
      </c>
      <c r="Z122" s="103">
        <v>0</v>
      </c>
      <c r="AA122" s="103">
        <v>0</v>
      </c>
      <c r="AB122" s="105">
        <v>35064</v>
      </c>
      <c r="AC122" s="105">
        <v>36129</v>
      </c>
      <c r="AD122" s="106">
        <f t="shared" si="83"/>
        <v>34.989733059548257</v>
      </c>
      <c r="AE122" s="106">
        <v>1</v>
      </c>
      <c r="AF122" s="106">
        <v>0</v>
      </c>
      <c r="AG122" s="105" t="s">
        <v>387</v>
      </c>
      <c r="AH122" s="100">
        <v>1</v>
      </c>
      <c r="AI122" s="127" t="s">
        <v>327</v>
      </c>
      <c r="AJ122" s="105">
        <v>36280</v>
      </c>
      <c r="AK122" s="106">
        <f t="shared" si="84"/>
        <v>16.821355236139631</v>
      </c>
      <c r="AL122" s="106">
        <f t="shared" si="85"/>
        <v>4.9609856262833674</v>
      </c>
      <c r="AM122" s="106">
        <f t="shared" si="86"/>
        <v>56.772073921971256</v>
      </c>
      <c r="AN122" s="102">
        <v>3</v>
      </c>
      <c r="AO122" s="102">
        <v>0</v>
      </c>
      <c r="AP122" s="128">
        <v>36802</v>
      </c>
      <c r="AQ122" s="128">
        <v>36816</v>
      </c>
      <c r="AR122" s="129">
        <f t="shared" si="87"/>
        <v>2</v>
      </c>
      <c r="AS122" s="109">
        <v>10</v>
      </c>
      <c r="AT122" s="109">
        <v>5</v>
      </c>
      <c r="AU122" s="109">
        <f>AT122*AS122</f>
        <v>50</v>
      </c>
      <c r="AV122" s="109">
        <v>0</v>
      </c>
      <c r="AW122" s="109">
        <v>1</v>
      </c>
      <c r="AX122" s="109">
        <v>0</v>
      </c>
      <c r="AY122" s="109">
        <v>0</v>
      </c>
      <c r="AZ122" s="109">
        <v>1</v>
      </c>
      <c r="BA122" s="109">
        <v>0</v>
      </c>
      <c r="BB122" s="109">
        <v>0</v>
      </c>
      <c r="BC122" s="109">
        <v>2</v>
      </c>
      <c r="BD122" s="125">
        <v>1</v>
      </c>
      <c r="BE122" s="131">
        <v>37046</v>
      </c>
      <c r="BF122" s="124"/>
      <c r="BG122" s="124">
        <f t="shared" si="97"/>
        <v>37046</v>
      </c>
      <c r="BH122" s="124"/>
      <c r="BI122" s="102" t="s">
        <v>82</v>
      </c>
      <c r="BJ122" s="100">
        <f t="shared" si="88"/>
        <v>8.3449691991786441</v>
      </c>
      <c r="BK122" s="100">
        <f t="shared" si="89"/>
        <v>253.99999999999997</v>
      </c>
      <c r="BL122" s="100">
        <v>0</v>
      </c>
      <c r="BM122" s="110"/>
      <c r="BN122" s="100"/>
      <c r="BO122" s="100">
        <f t="shared" si="98"/>
        <v>8.3449691991786441</v>
      </c>
      <c r="BP122" s="100">
        <f t="shared" si="90"/>
        <v>253.99999999999997</v>
      </c>
      <c r="BQ122" s="100">
        <v>1</v>
      </c>
      <c r="BR122" s="110">
        <v>36964</v>
      </c>
      <c r="BS122" s="106">
        <f t="shared" si="94"/>
        <v>5.6509240246406574</v>
      </c>
      <c r="BT122" s="100">
        <f t="shared" si="91"/>
        <v>172</v>
      </c>
      <c r="BU122" s="100">
        <f>BQ122+BL122</f>
        <v>1</v>
      </c>
      <c r="BV122" s="100"/>
      <c r="BW122" s="100"/>
      <c r="BX122" s="110">
        <f>BR122</f>
        <v>36964</v>
      </c>
      <c r="BY122" s="100">
        <f t="shared" si="95"/>
        <v>5.6509240246406574</v>
      </c>
      <c r="BZ122" s="100">
        <f t="shared" si="99"/>
        <v>172</v>
      </c>
      <c r="CA122" s="100">
        <f>BU122</f>
        <v>1</v>
      </c>
      <c r="CB122" s="110">
        <f t="shared" si="100"/>
        <v>36964</v>
      </c>
      <c r="CC122" s="100">
        <f t="shared" si="92"/>
        <v>5.6509240246406574</v>
      </c>
      <c r="CD122" s="100">
        <f t="shared" si="93"/>
        <v>172</v>
      </c>
      <c r="CE122" s="132" t="s">
        <v>38</v>
      </c>
      <c r="CF122" s="126" t="s">
        <v>38</v>
      </c>
      <c r="CG122" s="100">
        <v>3</v>
      </c>
      <c r="CH122" s="115">
        <f>39.93+1.4+6.61</f>
        <v>47.94</v>
      </c>
      <c r="CI122" s="126" t="s">
        <v>201</v>
      </c>
      <c r="CJ122" s="126" t="s">
        <v>16</v>
      </c>
      <c r="CK122" s="126" t="s">
        <v>364</v>
      </c>
      <c r="CL122" s="126"/>
      <c r="CM122" s="126" t="s">
        <v>408</v>
      </c>
      <c r="CN122" s="110"/>
      <c r="CO122" s="100">
        <v>0</v>
      </c>
      <c r="CP122" s="110"/>
      <c r="CQ122" s="110" t="s">
        <v>408</v>
      </c>
      <c r="CR122" s="126"/>
    </row>
    <row r="123" spans="1:96" s="113" customFormat="1" ht="25.5">
      <c r="A123" s="119" t="s">
        <v>210</v>
      </c>
      <c r="B123" s="119" t="s">
        <v>241</v>
      </c>
      <c r="C123" s="120">
        <v>137</v>
      </c>
      <c r="D123" s="96">
        <v>121</v>
      </c>
      <c r="E123" s="120">
        <v>9700</v>
      </c>
      <c r="F123" s="121">
        <v>12059</v>
      </c>
      <c r="G123" s="122">
        <v>1459665</v>
      </c>
      <c r="H123" s="123" t="s">
        <v>121</v>
      </c>
      <c r="I123" s="124">
        <v>37002</v>
      </c>
      <c r="J123" s="122">
        <f t="shared" si="82"/>
        <v>68.290212183435997</v>
      </c>
      <c r="K123" s="125">
        <v>0</v>
      </c>
      <c r="L123" s="123" t="s">
        <v>170</v>
      </c>
      <c r="M123" s="119" t="s">
        <v>343</v>
      </c>
      <c r="N123" s="120" t="s">
        <v>509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6" t="s">
        <v>342</v>
      </c>
      <c r="U123" s="103" t="s">
        <v>506</v>
      </c>
      <c r="V123" s="103">
        <v>0</v>
      </c>
      <c r="W123" s="103">
        <v>0</v>
      </c>
      <c r="X123" s="103">
        <v>1</v>
      </c>
      <c r="Y123" s="103">
        <v>0</v>
      </c>
      <c r="Z123" s="103">
        <v>0</v>
      </c>
      <c r="AA123" s="103">
        <v>0</v>
      </c>
      <c r="AB123" s="105">
        <v>35764</v>
      </c>
      <c r="AC123" s="105">
        <v>36727</v>
      </c>
      <c r="AD123" s="106">
        <f t="shared" si="83"/>
        <v>31.638603696098563</v>
      </c>
      <c r="AE123" s="106">
        <v>0</v>
      </c>
      <c r="AF123" s="106">
        <v>0</v>
      </c>
      <c r="AG123" s="105" t="s">
        <v>389</v>
      </c>
      <c r="AH123" s="100">
        <v>1</v>
      </c>
      <c r="AI123" s="127" t="s">
        <v>327</v>
      </c>
      <c r="AJ123" s="105">
        <v>36727</v>
      </c>
      <c r="AK123" s="106">
        <f t="shared" si="84"/>
        <v>9.0349075975359341</v>
      </c>
      <c r="AL123" s="106">
        <f t="shared" si="85"/>
        <v>0</v>
      </c>
      <c r="AM123" s="106">
        <f t="shared" si="86"/>
        <v>40.673511293634498</v>
      </c>
      <c r="AN123" s="102">
        <v>5</v>
      </c>
      <c r="AO123" s="102">
        <v>0</v>
      </c>
      <c r="AP123" s="128">
        <v>37015</v>
      </c>
      <c r="AQ123" s="128">
        <v>37028</v>
      </c>
      <c r="AR123" s="129">
        <f t="shared" si="87"/>
        <v>1.8571428571428572</v>
      </c>
      <c r="AS123" s="109">
        <v>4</v>
      </c>
      <c r="AT123" s="109">
        <v>10</v>
      </c>
      <c r="AU123" s="109">
        <f>AT123*AS123</f>
        <v>40</v>
      </c>
      <c r="AV123" s="109">
        <v>1</v>
      </c>
      <c r="AW123" s="109">
        <v>1</v>
      </c>
      <c r="AX123" s="109">
        <v>0</v>
      </c>
      <c r="AY123" s="109">
        <v>0</v>
      </c>
      <c r="AZ123" s="109">
        <v>0</v>
      </c>
      <c r="BA123" s="109">
        <v>0</v>
      </c>
      <c r="BB123" s="109">
        <v>0</v>
      </c>
      <c r="BC123" s="109">
        <v>2</v>
      </c>
      <c r="BD123" s="125">
        <v>1</v>
      </c>
      <c r="BE123" s="131">
        <v>37640</v>
      </c>
      <c r="BF123" s="124"/>
      <c r="BG123" s="124">
        <f t="shared" si="97"/>
        <v>37640</v>
      </c>
      <c r="BH123" s="124"/>
      <c r="BI123" s="102"/>
      <c r="BJ123" s="100">
        <f t="shared" si="88"/>
        <v>20.960985626283367</v>
      </c>
      <c r="BK123" s="100">
        <f t="shared" si="89"/>
        <v>638</v>
      </c>
      <c r="BL123" s="100">
        <v>1</v>
      </c>
      <c r="BM123" s="110">
        <v>37287</v>
      </c>
      <c r="BN123" s="100">
        <f>(BM123-AQ123)*12/365.25</f>
        <v>8.5092402464065717</v>
      </c>
      <c r="BO123" s="100">
        <f>(BM123-I123)*12/365.25</f>
        <v>9.3634496919917858</v>
      </c>
      <c r="BP123" s="100">
        <f t="shared" si="90"/>
        <v>284.99999999999994</v>
      </c>
      <c r="BQ123" s="100">
        <v>1</v>
      </c>
      <c r="BR123" s="110">
        <v>37251</v>
      </c>
      <c r="BS123" s="106">
        <f t="shared" si="94"/>
        <v>8.1806981519507183</v>
      </c>
      <c r="BT123" s="100">
        <f t="shared" si="91"/>
        <v>249</v>
      </c>
      <c r="BU123" s="100">
        <v>1</v>
      </c>
      <c r="BV123" s="100"/>
      <c r="BW123" s="100"/>
      <c r="BX123" s="110">
        <f>BR123</f>
        <v>37251</v>
      </c>
      <c r="BY123" s="100">
        <f t="shared" si="95"/>
        <v>8.1806981519507183</v>
      </c>
      <c r="BZ123" s="100">
        <f t="shared" si="99"/>
        <v>249</v>
      </c>
      <c r="CA123" s="100">
        <f>BU123</f>
        <v>1</v>
      </c>
      <c r="CB123" s="110">
        <f t="shared" si="100"/>
        <v>37251</v>
      </c>
      <c r="CC123" s="100">
        <f t="shared" si="92"/>
        <v>8.1806981519507183</v>
      </c>
      <c r="CD123" s="100">
        <f t="shared" si="93"/>
        <v>249</v>
      </c>
      <c r="CE123" s="132"/>
      <c r="CF123" s="126"/>
      <c r="CG123" s="100">
        <v>3</v>
      </c>
      <c r="CH123" s="115">
        <f>11.79+10.13+5.71+5.24+2.05</f>
        <v>34.92</v>
      </c>
      <c r="CI123" s="126"/>
      <c r="CJ123" s="126"/>
      <c r="CK123" s="126" t="s">
        <v>38</v>
      </c>
      <c r="CL123" s="126"/>
      <c r="CM123" s="126" t="s">
        <v>408</v>
      </c>
      <c r="CN123" s="110"/>
      <c r="CO123" s="100">
        <v>0</v>
      </c>
      <c r="CP123" s="110"/>
      <c r="CQ123" s="110" t="s">
        <v>408</v>
      </c>
      <c r="CR123" s="126"/>
    </row>
    <row r="124" spans="1:96" s="113" customFormat="1">
      <c r="A124" s="21"/>
      <c r="B124" s="21"/>
      <c r="C124" s="22"/>
      <c r="D124" s="22"/>
      <c r="E124" s="22"/>
      <c r="F124" s="23"/>
      <c r="G124" s="21"/>
      <c r="H124" s="21"/>
      <c r="I124" s="42"/>
      <c r="J124" s="24"/>
      <c r="K124" s="36"/>
      <c r="L124" s="21"/>
      <c r="M124" s="21"/>
      <c r="N124" s="36"/>
      <c r="O124" s="36">
        <f>SUM(O123:O123)</f>
        <v>0</v>
      </c>
      <c r="P124" s="36">
        <f>SUM(P123:P123)</f>
        <v>0</v>
      </c>
      <c r="Q124" s="36">
        <f>SUM(Q123:Q123)</f>
        <v>0</v>
      </c>
      <c r="R124" s="36">
        <f>SUM(R123:R123)</f>
        <v>0</v>
      </c>
      <c r="S124" s="36">
        <f>SUM(S123:S123)</f>
        <v>0</v>
      </c>
      <c r="T124" s="25"/>
      <c r="U124" s="38"/>
      <c r="V124" s="36"/>
      <c r="W124" s="36"/>
      <c r="X124" s="36"/>
      <c r="Y124" s="36"/>
      <c r="Z124" s="36"/>
      <c r="AA124" s="36"/>
      <c r="AB124" s="23"/>
      <c r="AC124" s="23"/>
      <c r="AD124" s="23"/>
      <c r="AE124" s="24"/>
      <c r="AF124" s="24"/>
      <c r="AG124" s="23"/>
      <c r="AH124" s="36"/>
      <c r="AI124" s="25"/>
      <c r="AJ124" s="23"/>
      <c r="AK124" s="24"/>
      <c r="AL124" s="24"/>
      <c r="AM124" s="24"/>
      <c r="AN124" s="21"/>
      <c r="AO124" s="21"/>
      <c r="AP124" s="21"/>
      <c r="AQ124" s="21"/>
      <c r="AR124" s="22"/>
      <c r="AS124" s="22"/>
      <c r="AT124" s="22"/>
      <c r="AU124" s="22"/>
      <c r="AV124" s="36"/>
      <c r="AW124" s="36"/>
      <c r="AX124" s="36"/>
      <c r="AY124" s="36"/>
      <c r="AZ124" s="36"/>
      <c r="BA124" s="36"/>
      <c r="BB124" s="36"/>
      <c r="BC124" s="36"/>
      <c r="BD124" s="22"/>
      <c r="BE124" s="22"/>
      <c r="BF124" s="42"/>
      <c r="BG124" s="42"/>
      <c r="BH124" s="42"/>
      <c r="BI124" s="21"/>
      <c r="BJ124" s="36"/>
      <c r="BK124" s="36"/>
      <c r="BL124" s="36"/>
      <c r="BM124" s="42"/>
      <c r="BN124" s="36"/>
      <c r="BO124" s="36"/>
      <c r="BP124" s="36"/>
      <c r="BQ124" s="36"/>
      <c r="BR124" s="42"/>
      <c r="BS124" s="24"/>
      <c r="BT124" s="24"/>
      <c r="BU124" s="36"/>
      <c r="BV124" s="36"/>
      <c r="BW124" s="36"/>
      <c r="BX124" s="42"/>
      <c r="BY124" s="36"/>
      <c r="BZ124" s="36"/>
      <c r="CA124" s="36"/>
      <c r="CB124" s="42"/>
      <c r="CC124" s="36"/>
      <c r="CD124" s="36"/>
      <c r="CE124" s="21"/>
      <c r="CF124" s="51"/>
      <c r="CG124" s="36"/>
      <c r="CH124" s="46"/>
      <c r="CI124" s="25"/>
      <c r="CJ124" s="25"/>
      <c r="CK124" s="22"/>
      <c r="CL124" s="25"/>
      <c r="CM124" s="22"/>
      <c r="CN124" s="42"/>
      <c r="CO124" s="36"/>
      <c r="CP124" s="42"/>
      <c r="CQ124" s="42"/>
      <c r="CR124" s="25"/>
    </row>
    <row r="125" spans="1:96">
      <c r="AD125" s="41"/>
      <c r="AW125" s="22"/>
      <c r="BN125" s="46"/>
      <c r="BO125" s="46"/>
      <c r="BP125" s="46"/>
    </row>
  </sheetData>
  <phoneticPr fontId="2"/>
  <dataValidations count="4">
    <dataValidation type="date" operator="greaterThanOrEqual" allowBlank="1" showInputMessage="1" showErrorMessage="1" sqref="AP3:AQ95">
      <formula1>1</formula1>
    </dataValidation>
    <dataValidation allowBlank="1" showInputMessage="1" showErrorMessage="1" sqref="AR2:AR95 AI3:AI95"/>
    <dataValidation type="whole" operator="greaterThanOrEqual" allowBlank="1" showInputMessage="1" showErrorMessage="1" sqref="F3:F94 D3:D123 E3:E95 C3:C95">
      <formula1>-9.9999999999999E+307</formula1>
    </dataValidation>
    <dataValidation type="textLength" operator="greaterThanOrEqual" allowBlank="1" showInputMessage="1" showErrorMessage="1" sqref="A3:B95 O115:S118 O103:S103 M2:M95 N2:S102">
      <formula1>0</formula1>
    </dataValidation>
  </dataValidations>
  <pageMargins left="0.3" right="0.3" top="1" bottom="1" header="0.5" footer="0.5"/>
  <pageSetup scale="50" orientation="landscape" horizontalDpi="4294967292" verticalDpi="429496729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CH124"/>
  <sheetViews>
    <sheetView tabSelected="1" workbookViewId="0">
      <selection activeCell="BL14" sqref="BL14"/>
    </sheetView>
  </sheetViews>
  <sheetFormatPr defaultRowHeight="15"/>
  <cols>
    <col min="1" max="9" width="15.140625" customWidth="1"/>
    <col min="10" max="10" width="15.140625" style="202" customWidth="1"/>
    <col min="11" max="39" width="15.140625" customWidth="1"/>
    <col min="40" max="40" width="15.140625" style="202" customWidth="1"/>
    <col min="41" max="55" width="15.140625" customWidth="1"/>
    <col min="56" max="56" width="15.140625" style="202" customWidth="1"/>
    <col min="57" max="61" width="15.140625" customWidth="1"/>
    <col min="62" max="63" width="15.140625" style="202" customWidth="1"/>
    <col min="64" max="256" width="15.140625" customWidth="1"/>
  </cols>
  <sheetData>
    <row r="1" spans="3:86" s="201" customFormat="1">
      <c r="C1" s="201" t="s">
        <v>352</v>
      </c>
      <c r="D1" s="201" t="s">
        <v>535</v>
      </c>
      <c r="E1" s="201" t="s">
        <v>489</v>
      </c>
      <c r="H1" s="201" t="s">
        <v>354</v>
      </c>
      <c r="J1" s="202" t="s">
        <v>356</v>
      </c>
      <c r="K1" s="201" t="s">
        <v>337</v>
      </c>
      <c r="L1" s="201" t="s">
        <v>162</v>
      </c>
      <c r="M1" s="201" t="s">
        <v>163</v>
      </c>
      <c r="N1" s="201" t="s">
        <v>419</v>
      </c>
      <c r="O1" s="201" t="s">
        <v>107</v>
      </c>
      <c r="P1" s="201" t="s">
        <v>510</v>
      </c>
      <c r="Q1" s="201" t="s">
        <v>403</v>
      </c>
      <c r="R1" s="201" t="s">
        <v>504</v>
      </c>
      <c r="S1" s="201" t="s">
        <v>511</v>
      </c>
      <c r="T1" s="201" t="s">
        <v>359</v>
      </c>
      <c r="U1" s="201" t="s">
        <v>418</v>
      </c>
      <c r="V1" s="201" t="s">
        <v>402</v>
      </c>
      <c r="W1" s="201" t="s">
        <v>507</v>
      </c>
      <c r="X1" s="201" t="s">
        <v>506</v>
      </c>
      <c r="Y1" s="201" t="s">
        <v>508</v>
      </c>
      <c r="Z1" s="201" t="s">
        <v>504</v>
      </c>
      <c r="AA1" s="201" t="s">
        <v>505</v>
      </c>
      <c r="AD1" s="201" t="s">
        <v>496</v>
      </c>
      <c r="AE1" s="201" t="s">
        <v>499</v>
      </c>
      <c r="AF1" s="201" t="s">
        <v>395</v>
      </c>
      <c r="AG1" s="201" t="s">
        <v>394</v>
      </c>
      <c r="AH1" s="201" t="s">
        <v>502</v>
      </c>
      <c r="AI1" s="201" t="s">
        <v>164</v>
      </c>
      <c r="AK1" s="201" t="s">
        <v>498</v>
      </c>
      <c r="AL1" s="201" t="s">
        <v>497</v>
      </c>
      <c r="AM1" s="201" t="s">
        <v>538</v>
      </c>
      <c r="AN1" s="202" t="s">
        <v>421</v>
      </c>
      <c r="AO1" s="201" t="s">
        <v>540</v>
      </c>
      <c r="AR1" s="201" t="s">
        <v>194</v>
      </c>
      <c r="AS1" s="201" t="s">
        <v>94</v>
      </c>
      <c r="AT1" s="201" t="s">
        <v>95</v>
      </c>
      <c r="AU1" s="201" t="s">
        <v>96</v>
      </c>
      <c r="AV1" s="201" t="s">
        <v>368</v>
      </c>
      <c r="AW1" s="201" t="s">
        <v>380</v>
      </c>
      <c r="AX1" s="201" t="s">
        <v>369</v>
      </c>
      <c r="AY1" s="201" t="s">
        <v>370</v>
      </c>
      <c r="AZ1" s="201" t="s">
        <v>381</v>
      </c>
      <c r="BA1" s="201" t="s">
        <v>371</v>
      </c>
      <c r="BB1" s="201" t="s">
        <v>420</v>
      </c>
      <c r="BC1" s="201" t="s">
        <v>358</v>
      </c>
      <c r="BD1" s="202" t="s">
        <v>414</v>
      </c>
      <c r="BH1" s="201" t="s">
        <v>541</v>
      </c>
      <c r="BI1" s="201" t="s">
        <v>180</v>
      </c>
      <c r="BJ1" s="202" t="s">
        <v>376</v>
      </c>
      <c r="BK1" s="202" t="s">
        <v>525</v>
      </c>
      <c r="BL1" s="201" t="s">
        <v>396</v>
      </c>
      <c r="BN1" s="201" t="s">
        <v>517</v>
      </c>
      <c r="BO1" s="201" t="s">
        <v>522</v>
      </c>
      <c r="BP1" s="201" t="s">
        <v>523</v>
      </c>
      <c r="BQ1" s="201" t="s">
        <v>398</v>
      </c>
      <c r="BS1" s="201" t="s">
        <v>518</v>
      </c>
      <c r="BT1" s="201" t="s">
        <v>524</v>
      </c>
      <c r="BU1" s="201" t="s">
        <v>513</v>
      </c>
      <c r="BV1" s="201" t="s">
        <v>520</v>
      </c>
      <c r="BW1" s="201" t="s">
        <v>521</v>
      </c>
      <c r="BX1" s="201" t="s">
        <v>397</v>
      </c>
      <c r="BY1" s="201" t="s">
        <v>512</v>
      </c>
      <c r="BZ1" s="201" t="s">
        <v>526</v>
      </c>
      <c r="CA1" s="201" t="s">
        <v>532</v>
      </c>
      <c r="CC1" s="201" t="s">
        <v>530</v>
      </c>
      <c r="CD1" s="201" t="s">
        <v>531</v>
      </c>
      <c r="CE1" s="201" t="s">
        <v>97</v>
      </c>
      <c r="CF1" s="201" t="s">
        <v>288</v>
      </c>
      <c r="CG1" s="201" t="s">
        <v>503</v>
      </c>
      <c r="CH1" s="201" t="s">
        <v>357</v>
      </c>
    </row>
    <row r="2" spans="3:86">
      <c r="C2">
        <v>0</v>
      </c>
      <c r="D2">
        <v>0</v>
      </c>
      <c r="E2">
        <v>8700</v>
      </c>
      <c r="H2" t="s">
        <v>121</v>
      </c>
      <c r="J2" s="202">
        <v>65.705681040383297</v>
      </c>
      <c r="K2">
        <v>1</v>
      </c>
      <c r="L2" t="s">
        <v>49</v>
      </c>
      <c r="M2" t="s">
        <v>122</v>
      </c>
      <c r="N2" t="s">
        <v>403</v>
      </c>
      <c r="O2">
        <v>0</v>
      </c>
      <c r="P2">
        <v>0</v>
      </c>
      <c r="Q2">
        <v>1</v>
      </c>
      <c r="R2">
        <v>0</v>
      </c>
      <c r="S2">
        <v>0</v>
      </c>
      <c r="T2" t="s">
        <v>475</v>
      </c>
      <c r="U2" t="s">
        <v>402</v>
      </c>
      <c r="V2">
        <v>1</v>
      </c>
      <c r="W2">
        <v>0</v>
      </c>
      <c r="X2">
        <v>0</v>
      </c>
      <c r="Y2">
        <v>0</v>
      </c>
      <c r="Z2">
        <v>0</v>
      </c>
      <c r="AA2">
        <v>0</v>
      </c>
      <c r="AD2">
        <v>13.338809034907598</v>
      </c>
      <c r="AE2">
        <v>0</v>
      </c>
      <c r="AF2">
        <v>0</v>
      </c>
      <c r="AG2" t="s">
        <v>387</v>
      </c>
      <c r="AH2">
        <v>1</v>
      </c>
      <c r="AI2" t="s">
        <v>315</v>
      </c>
      <c r="AK2">
        <v>2.0369609856262834</v>
      </c>
      <c r="AL2">
        <v>0</v>
      </c>
      <c r="AM2">
        <v>15.375770020533881</v>
      </c>
      <c r="AN2" s="202">
        <v>1</v>
      </c>
      <c r="AO2">
        <v>1</v>
      </c>
      <c r="AR2">
        <v>2.1428571428571428</v>
      </c>
      <c r="AS2">
        <v>10</v>
      </c>
      <c r="AT2">
        <v>5</v>
      </c>
      <c r="AU2">
        <v>50</v>
      </c>
      <c r="AV2">
        <v>0</v>
      </c>
      <c r="AW2">
        <v>0</v>
      </c>
      <c r="AX2">
        <v>1</v>
      </c>
      <c r="AY2">
        <v>0</v>
      </c>
      <c r="AZ2">
        <v>0</v>
      </c>
      <c r="BA2">
        <v>0</v>
      </c>
      <c r="BB2">
        <v>0</v>
      </c>
      <c r="BC2">
        <v>1</v>
      </c>
      <c r="BD2" s="202">
        <v>0</v>
      </c>
      <c r="BH2" t="s">
        <v>537</v>
      </c>
      <c r="BJ2" s="202">
        <v>12.254620123203285</v>
      </c>
      <c r="BK2" s="202">
        <v>373</v>
      </c>
      <c r="BL2">
        <v>0</v>
      </c>
      <c r="BO2">
        <v>11.926078028747433</v>
      </c>
      <c r="BP2">
        <v>363</v>
      </c>
      <c r="BQ2">
        <v>0</v>
      </c>
      <c r="BS2">
        <v>11.926078028747433</v>
      </c>
      <c r="BT2">
        <v>363</v>
      </c>
      <c r="BU2">
        <v>0</v>
      </c>
      <c r="BV2">
        <v>1</v>
      </c>
      <c r="BW2">
        <v>1</v>
      </c>
      <c r="BY2">
        <v>11.926078028747433</v>
      </c>
      <c r="BZ2">
        <v>363</v>
      </c>
      <c r="CA2">
        <v>0</v>
      </c>
      <c r="CC2">
        <v>11.926078028747433</v>
      </c>
      <c r="CD2">
        <v>363</v>
      </c>
      <c r="CG2">
        <v>4</v>
      </c>
      <c r="CH2">
        <v>79.900000000000006</v>
      </c>
    </row>
    <row r="3" spans="3:86">
      <c r="C3">
        <v>1</v>
      </c>
      <c r="D3">
        <v>1</v>
      </c>
      <c r="E3">
        <v>8700</v>
      </c>
      <c r="H3" t="s">
        <v>121</v>
      </c>
      <c r="J3" s="202">
        <v>62.726899383983572</v>
      </c>
      <c r="K3">
        <v>1</v>
      </c>
      <c r="L3" t="s">
        <v>49</v>
      </c>
      <c r="M3" t="s">
        <v>122</v>
      </c>
      <c r="N3" t="s">
        <v>403</v>
      </c>
      <c r="O3">
        <v>0</v>
      </c>
      <c r="P3">
        <v>0</v>
      </c>
      <c r="Q3">
        <v>1</v>
      </c>
      <c r="R3">
        <v>0</v>
      </c>
      <c r="S3">
        <v>0</v>
      </c>
      <c r="T3" t="s">
        <v>475</v>
      </c>
      <c r="U3" t="s">
        <v>402</v>
      </c>
      <c r="V3">
        <v>1</v>
      </c>
      <c r="W3">
        <v>0</v>
      </c>
      <c r="X3">
        <v>0</v>
      </c>
      <c r="Y3">
        <v>0</v>
      </c>
      <c r="Z3">
        <v>0</v>
      </c>
      <c r="AA3">
        <v>0</v>
      </c>
      <c r="AD3">
        <v>49.872689938398352</v>
      </c>
      <c r="AE3">
        <v>1</v>
      </c>
      <c r="AF3">
        <v>0</v>
      </c>
      <c r="AG3" t="s">
        <v>387</v>
      </c>
      <c r="AH3">
        <v>1</v>
      </c>
      <c r="AI3" t="s">
        <v>327</v>
      </c>
      <c r="AK3">
        <v>21.618069815195071</v>
      </c>
      <c r="AL3">
        <v>0</v>
      </c>
      <c r="AM3">
        <v>71.490759753593423</v>
      </c>
      <c r="AN3" s="202">
        <v>2</v>
      </c>
      <c r="AO3">
        <v>0</v>
      </c>
      <c r="AR3">
        <v>2</v>
      </c>
      <c r="AS3">
        <v>10</v>
      </c>
      <c r="AT3">
        <v>5</v>
      </c>
      <c r="AU3">
        <v>50</v>
      </c>
      <c r="AV3">
        <v>1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1</v>
      </c>
      <c r="BD3" s="202">
        <v>0</v>
      </c>
      <c r="BH3" t="s">
        <v>537</v>
      </c>
      <c r="BJ3" s="202">
        <v>89.593429158110894</v>
      </c>
      <c r="BK3" s="202">
        <v>2727.0000000000005</v>
      </c>
      <c r="BL3">
        <v>0</v>
      </c>
      <c r="BO3">
        <v>87.622176591375762</v>
      </c>
      <c r="BP3">
        <v>2666.9999999999995</v>
      </c>
      <c r="BQ3">
        <v>0</v>
      </c>
      <c r="BS3">
        <v>87.622176591375762</v>
      </c>
      <c r="BT3">
        <v>2666.9999999999995</v>
      </c>
      <c r="BU3">
        <v>0</v>
      </c>
      <c r="BV3">
        <v>1</v>
      </c>
      <c r="BW3">
        <v>1</v>
      </c>
      <c r="BY3">
        <v>87.622176591375762</v>
      </c>
      <c r="BZ3">
        <v>2666.9999999999995</v>
      </c>
      <c r="CA3">
        <v>0</v>
      </c>
      <c r="CC3">
        <v>87.622176591375762</v>
      </c>
      <c r="CD3">
        <v>2666.9999999999995</v>
      </c>
      <c r="CG3">
        <v>1</v>
      </c>
      <c r="CH3">
        <v>2.69</v>
      </c>
    </row>
    <row r="4" spans="3:86">
      <c r="C4">
        <v>2</v>
      </c>
      <c r="D4">
        <v>2</v>
      </c>
      <c r="E4">
        <v>8700</v>
      </c>
      <c r="H4" t="s">
        <v>121</v>
      </c>
      <c r="J4" s="202">
        <v>53.327857631759066</v>
      </c>
      <c r="K4">
        <v>1</v>
      </c>
      <c r="L4" t="s">
        <v>472</v>
      </c>
      <c r="M4" t="s">
        <v>122</v>
      </c>
      <c r="N4" t="s">
        <v>403</v>
      </c>
      <c r="O4">
        <v>0</v>
      </c>
      <c r="P4">
        <v>0</v>
      </c>
      <c r="Q4">
        <v>1</v>
      </c>
      <c r="R4">
        <v>0</v>
      </c>
      <c r="S4">
        <v>0</v>
      </c>
      <c r="T4" t="s">
        <v>475</v>
      </c>
      <c r="U4" t="s">
        <v>402</v>
      </c>
      <c r="V4">
        <v>1</v>
      </c>
      <c r="W4">
        <v>0</v>
      </c>
      <c r="X4">
        <v>0</v>
      </c>
      <c r="Y4">
        <v>0</v>
      </c>
      <c r="Z4">
        <v>0</v>
      </c>
      <c r="AA4">
        <v>0</v>
      </c>
      <c r="AD4">
        <v>58.907597535934286</v>
      </c>
      <c r="AE4">
        <v>0</v>
      </c>
      <c r="AF4">
        <v>0</v>
      </c>
      <c r="AG4" t="s">
        <v>387</v>
      </c>
      <c r="AH4">
        <v>1</v>
      </c>
      <c r="AI4" t="s">
        <v>479</v>
      </c>
      <c r="AK4">
        <v>2.8911704312114992</v>
      </c>
      <c r="AL4">
        <v>0</v>
      </c>
      <c r="AM4">
        <v>61.798767967145793</v>
      </c>
      <c r="AN4" s="202">
        <v>1</v>
      </c>
      <c r="AO4">
        <v>1</v>
      </c>
      <c r="AR4">
        <v>3.1428571428571428</v>
      </c>
      <c r="AS4">
        <v>17</v>
      </c>
      <c r="AT4">
        <v>3</v>
      </c>
      <c r="AU4">
        <v>51</v>
      </c>
      <c r="AV4">
        <v>0</v>
      </c>
      <c r="AW4">
        <v>0</v>
      </c>
      <c r="AX4">
        <v>0</v>
      </c>
      <c r="AY4">
        <v>0</v>
      </c>
      <c r="AZ4">
        <v>0</v>
      </c>
      <c r="BA4">
        <v>1</v>
      </c>
      <c r="BB4">
        <v>0</v>
      </c>
      <c r="BC4">
        <v>1</v>
      </c>
      <c r="BD4" s="202">
        <v>0</v>
      </c>
      <c r="BH4" t="s">
        <v>537</v>
      </c>
      <c r="BJ4" s="202">
        <v>88.082135523613971</v>
      </c>
      <c r="BK4" s="202">
        <v>2681.0000000000005</v>
      </c>
      <c r="BL4">
        <v>0</v>
      </c>
      <c r="BO4">
        <v>84.96098562628336</v>
      </c>
      <c r="BP4">
        <v>2585.9999999999995</v>
      </c>
      <c r="BQ4">
        <v>0</v>
      </c>
      <c r="BS4">
        <v>84.96098562628336</v>
      </c>
      <c r="BT4">
        <v>2585.9999999999995</v>
      </c>
      <c r="BU4">
        <v>0</v>
      </c>
      <c r="BV4">
        <v>1</v>
      </c>
      <c r="BW4">
        <v>1</v>
      </c>
      <c r="BY4">
        <v>84.96098562628336</v>
      </c>
      <c r="BZ4">
        <v>2585.9999999999995</v>
      </c>
      <c r="CA4">
        <v>0</v>
      </c>
      <c r="CC4">
        <v>84.96098562628336</v>
      </c>
      <c r="CD4">
        <v>2585.9999999999995</v>
      </c>
      <c r="CG4">
        <v>1</v>
      </c>
      <c r="CH4">
        <v>4.82</v>
      </c>
    </row>
    <row r="5" spans="3:86">
      <c r="C5">
        <v>3</v>
      </c>
      <c r="D5">
        <v>3</v>
      </c>
      <c r="E5">
        <v>8700</v>
      </c>
      <c r="H5" t="s">
        <v>121</v>
      </c>
      <c r="J5" s="202">
        <v>62.902121834360024</v>
      </c>
      <c r="K5">
        <v>1</v>
      </c>
      <c r="L5" t="s">
        <v>49</v>
      </c>
      <c r="M5" t="s">
        <v>122</v>
      </c>
      <c r="N5" t="s">
        <v>403</v>
      </c>
      <c r="O5">
        <v>0</v>
      </c>
      <c r="P5">
        <v>0</v>
      </c>
      <c r="Q5">
        <v>1</v>
      </c>
      <c r="R5">
        <v>0</v>
      </c>
      <c r="S5">
        <v>0</v>
      </c>
      <c r="T5" t="s">
        <v>475</v>
      </c>
      <c r="U5" t="s">
        <v>402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D5">
        <v>44.123203285420942</v>
      </c>
      <c r="AE5">
        <v>0</v>
      </c>
      <c r="AF5">
        <v>0</v>
      </c>
      <c r="AG5" t="s">
        <v>387</v>
      </c>
      <c r="AH5">
        <v>1</v>
      </c>
      <c r="AI5" t="s">
        <v>480</v>
      </c>
      <c r="AK5">
        <v>5.4866529774127306</v>
      </c>
      <c r="AL5">
        <v>0</v>
      </c>
      <c r="AM5">
        <v>49.609856262833674</v>
      </c>
      <c r="AN5" s="202">
        <v>1</v>
      </c>
      <c r="AO5">
        <v>1</v>
      </c>
      <c r="AR5">
        <v>6.5714285714285712</v>
      </c>
      <c r="AS5">
        <v>28</v>
      </c>
      <c r="AT5">
        <v>1.8</v>
      </c>
      <c r="AU5">
        <v>50.4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 s="202">
        <v>0</v>
      </c>
      <c r="BH5" t="s">
        <v>537</v>
      </c>
      <c r="BJ5" s="202">
        <v>87.490759753593423</v>
      </c>
      <c r="BK5" s="202">
        <v>2662.9999999999995</v>
      </c>
      <c r="BL5">
        <v>0</v>
      </c>
      <c r="BO5">
        <v>78.390143737166326</v>
      </c>
      <c r="BP5">
        <v>2386</v>
      </c>
      <c r="BQ5">
        <v>0</v>
      </c>
      <c r="BS5">
        <v>78.390143737166326</v>
      </c>
      <c r="BT5">
        <v>2386</v>
      </c>
      <c r="BU5">
        <v>0</v>
      </c>
      <c r="BV5">
        <v>1</v>
      </c>
      <c r="BW5">
        <v>1</v>
      </c>
      <c r="BY5">
        <v>78.390143737166326</v>
      </c>
      <c r="BZ5">
        <v>2386</v>
      </c>
      <c r="CA5">
        <v>0</v>
      </c>
      <c r="CC5">
        <v>78.390143737166326</v>
      </c>
      <c r="CD5">
        <v>2386</v>
      </c>
      <c r="CG5">
        <v>1</v>
      </c>
      <c r="CH5">
        <v>2.12</v>
      </c>
    </row>
    <row r="6" spans="3:86">
      <c r="C6">
        <v>5</v>
      </c>
      <c r="D6">
        <v>4</v>
      </c>
      <c r="E6">
        <v>8700</v>
      </c>
      <c r="H6" t="s">
        <v>121</v>
      </c>
      <c r="J6" s="202">
        <v>55.994524298425738</v>
      </c>
      <c r="K6">
        <v>1</v>
      </c>
      <c r="L6" t="s">
        <v>49</v>
      </c>
      <c r="M6" t="s">
        <v>122</v>
      </c>
      <c r="N6" t="s">
        <v>403</v>
      </c>
      <c r="O6">
        <v>0</v>
      </c>
      <c r="P6">
        <v>0</v>
      </c>
      <c r="Q6">
        <v>1</v>
      </c>
      <c r="R6">
        <v>0</v>
      </c>
      <c r="S6">
        <v>0</v>
      </c>
      <c r="T6" t="s">
        <v>477</v>
      </c>
      <c r="U6" t="s">
        <v>402</v>
      </c>
      <c r="V6">
        <v>1</v>
      </c>
      <c r="W6">
        <v>0</v>
      </c>
      <c r="X6">
        <v>0</v>
      </c>
      <c r="Y6">
        <v>0</v>
      </c>
      <c r="Z6">
        <v>0</v>
      </c>
      <c r="AA6">
        <v>0</v>
      </c>
      <c r="AD6">
        <v>26.973305954825463</v>
      </c>
      <c r="AE6">
        <v>1</v>
      </c>
      <c r="AF6">
        <v>0</v>
      </c>
      <c r="AG6" t="s">
        <v>387</v>
      </c>
      <c r="AH6">
        <v>1</v>
      </c>
      <c r="AI6" t="s">
        <v>327</v>
      </c>
      <c r="AK6">
        <v>16.657084188911703</v>
      </c>
      <c r="AL6">
        <v>0</v>
      </c>
      <c r="AM6">
        <v>43.630390143737166</v>
      </c>
      <c r="AN6" s="202">
        <v>1</v>
      </c>
      <c r="AO6">
        <v>1</v>
      </c>
      <c r="AR6">
        <v>1.8571428571428572</v>
      </c>
      <c r="AS6">
        <v>10</v>
      </c>
      <c r="AT6">
        <v>5</v>
      </c>
      <c r="AU6">
        <v>50</v>
      </c>
      <c r="AV6">
        <v>0</v>
      </c>
      <c r="AW6">
        <v>1</v>
      </c>
      <c r="AX6">
        <v>0</v>
      </c>
      <c r="AY6">
        <v>0</v>
      </c>
      <c r="AZ6">
        <v>0</v>
      </c>
      <c r="BA6">
        <v>0</v>
      </c>
      <c r="BB6">
        <v>0</v>
      </c>
      <c r="BC6">
        <v>1</v>
      </c>
      <c r="BD6" s="202">
        <v>0</v>
      </c>
      <c r="BH6" t="s">
        <v>537</v>
      </c>
      <c r="BJ6" s="202">
        <v>76.878850102669404</v>
      </c>
      <c r="BK6" s="202">
        <v>2340</v>
      </c>
      <c r="BL6">
        <v>1</v>
      </c>
      <c r="BN6">
        <v>5.3552361396303905</v>
      </c>
      <c r="BO6">
        <v>6.9650924024640659</v>
      </c>
      <c r="BP6">
        <v>212</v>
      </c>
      <c r="BQ6">
        <v>0</v>
      </c>
      <c r="BS6">
        <v>60.780287474332653</v>
      </c>
      <c r="BT6">
        <v>1850</v>
      </c>
      <c r="BU6">
        <v>1</v>
      </c>
      <c r="BV6">
        <v>1</v>
      </c>
      <c r="BW6">
        <v>1</v>
      </c>
      <c r="BX6">
        <v>36071</v>
      </c>
      <c r="BY6">
        <v>6.9650924024640659</v>
      </c>
      <c r="BZ6">
        <v>212</v>
      </c>
      <c r="CA6">
        <v>0</v>
      </c>
      <c r="CC6">
        <v>60.780287474332653</v>
      </c>
      <c r="CD6">
        <v>1850</v>
      </c>
      <c r="CG6">
        <v>3</v>
      </c>
      <c r="CH6">
        <v>44.55</v>
      </c>
    </row>
    <row r="7" spans="3:86">
      <c r="C7">
        <v>13</v>
      </c>
      <c r="D7">
        <v>5</v>
      </c>
      <c r="E7">
        <v>8700</v>
      </c>
      <c r="H7" t="s">
        <v>121</v>
      </c>
      <c r="J7" s="202">
        <v>42.784394250513344</v>
      </c>
      <c r="K7">
        <v>1</v>
      </c>
      <c r="L7" t="s">
        <v>49</v>
      </c>
      <c r="M7" t="s">
        <v>122</v>
      </c>
      <c r="N7" t="s">
        <v>403</v>
      </c>
      <c r="O7">
        <v>0</v>
      </c>
      <c r="P7">
        <v>0</v>
      </c>
      <c r="Q7">
        <v>1</v>
      </c>
      <c r="R7">
        <v>0</v>
      </c>
      <c r="S7">
        <v>0</v>
      </c>
      <c r="T7" t="s">
        <v>475</v>
      </c>
      <c r="U7" t="s">
        <v>402</v>
      </c>
      <c r="V7">
        <v>1</v>
      </c>
      <c r="W7">
        <v>0</v>
      </c>
      <c r="X7">
        <v>0</v>
      </c>
      <c r="Y7">
        <v>0</v>
      </c>
      <c r="Z7">
        <v>0</v>
      </c>
      <c r="AA7">
        <v>0</v>
      </c>
      <c r="AD7">
        <v>18.792607802874741</v>
      </c>
      <c r="AE7">
        <v>0</v>
      </c>
      <c r="AF7">
        <v>0</v>
      </c>
      <c r="AG7" t="s">
        <v>387</v>
      </c>
      <c r="AH7">
        <v>1</v>
      </c>
      <c r="AI7" t="s">
        <v>40</v>
      </c>
      <c r="AK7">
        <v>14.915811088295689</v>
      </c>
      <c r="AL7">
        <v>0</v>
      </c>
      <c r="AM7">
        <v>33.708418891170432</v>
      </c>
      <c r="AN7" s="202">
        <v>2</v>
      </c>
      <c r="AO7">
        <v>0</v>
      </c>
      <c r="AR7">
        <v>4.5714285714285712</v>
      </c>
      <c r="AS7">
        <v>13</v>
      </c>
      <c r="AT7">
        <v>4</v>
      </c>
      <c r="AU7">
        <v>52</v>
      </c>
      <c r="AV7">
        <v>0</v>
      </c>
      <c r="AW7">
        <v>0</v>
      </c>
      <c r="AX7">
        <v>0</v>
      </c>
      <c r="AY7">
        <v>0</v>
      </c>
      <c r="AZ7">
        <v>0</v>
      </c>
      <c r="BA7">
        <v>1</v>
      </c>
      <c r="BB7">
        <v>0</v>
      </c>
      <c r="BC7">
        <v>1</v>
      </c>
      <c r="BD7" s="202">
        <v>0</v>
      </c>
      <c r="BH7" t="s">
        <v>537</v>
      </c>
      <c r="BJ7" s="202">
        <v>50.858316221765911</v>
      </c>
      <c r="BK7" s="202">
        <v>1548</v>
      </c>
      <c r="BL7">
        <v>0</v>
      </c>
      <c r="BO7">
        <v>46.225872689938399</v>
      </c>
      <c r="BP7">
        <v>1407</v>
      </c>
      <c r="BQ7">
        <v>0</v>
      </c>
      <c r="BS7">
        <v>46.225872689938399</v>
      </c>
      <c r="BT7">
        <v>1407</v>
      </c>
      <c r="BU7">
        <v>0</v>
      </c>
      <c r="BV7">
        <v>1</v>
      </c>
      <c r="BW7">
        <v>1</v>
      </c>
      <c r="BY7">
        <v>46.225872689938399</v>
      </c>
      <c r="BZ7">
        <v>1407</v>
      </c>
      <c r="CA7">
        <v>0</v>
      </c>
      <c r="CC7">
        <v>46.225872689938399</v>
      </c>
      <c r="CD7">
        <v>1407</v>
      </c>
      <c r="CG7">
        <v>3</v>
      </c>
      <c r="CH7">
        <v>40.81</v>
      </c>
    </row>
    <row r="8" spans="3:86">
      <c r="C8">
        <v>14</v>
      </c>
      <c r="D8">
        <v>6</v>
      </c>
      <c r="E8">
        <v>8700</v>
      </c>
      <c r="H8" t="s">
        <v>121</v>
      </c>
      <c r="J8" s="202">
        <v>39.843942505133469</v>
      </c>
      <c r="K8">
        <v>1</v>
      </c>
      <c r="L8" t="s">
        <v>49</v>
      </c>
      <c r="M8" t="s">
        <v>122</v>
      </c>
      <c r="N8" t="s">
        <v>403</v>
      </c>
      <c r="O8">
        <v>0</v>
      </c>
      <c r="P8">
        <v>0</v>
      </c>
      <c r="Q8">
        <v>1</v>
      </c>
      <c r="R8">
        <v>0</v>
      </c>
      <c r="S8">
        <v>0</v>
      </c>
      <c r="T8" t="s">
        <v>475</v>
      </c>
      <c r="U8" t="s">
        <v>402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D8">
        <v>0.16427104722792607</v>
      </c>
      <c r="AE8">
        <v>0</v>
      </c>
      <c r="AF8">
        <v>0</v>
      </c>
      <c r="AG8" t="s">
        <v>389</v>
      </c>
      <c r="AH8">
        <v>1</v>
      </c>
      <c r="AI8" t="s">
        <v>40</v>
      </c>
      <c r="AK8">
        <v>11.827515400410677</v>
      </c>
      <c r="AL8">
        <v>0</v>
      </c>
      <c r="AM8">
        <v>11.991786447638603</v>
      </c>
      <c r="AN8" s="202">
        <v>1</v>
      </c>
      <c r="AO8">
        <v>1</v>
      </c>
      <c r="AR8">
        <v>0.7142857142857143</v>
      </c>
      <c r="AS8">
        <v>4</v>
      </c>
      <c r="AT8">
        <v>5</v>
      </c>
      <c r="AU8">
        <v>20</v>
      </c>
      <c r="AV8">
        <v>0</v>
      </c>
      <c r="AW8">
        <v>0</v>
      </c>
      <c r="AX8">
        <v>0</v>
      </c>
      <c r="AY8">
        <v>0</v>
      </c>
      <c r="AZ8">
        <v>0</v>
      </c>
      <c r="BA8">
        <v>1</v>
      </c>
      <c r="BB8">
        <v>0</v>
      </c>
      <c r="BC8">
        <v>1</v>
      </c>
      <c r="BD8" s="202">
        <v>0</v>
      </c>
      <c r="BH8" t="s">
        <v>537</v>
      </c>
      <c r="BJ8" s="202">
        <v>50.201232032854215</v>
      </c>
      <c r="BK8" s="202">
        <v>1528.0000000000002</v>
      </c>
      <c r="BL8">
        <v>0</v>
      </c>
      <c r="BO8">
        <v>45.010266940451743</v>
      </c>
      <c r="BP8">
        <v>1370</v>
      </c>
      <c r="BQ8">
        <v>0</v>
      </c>
      <c r="BS8">
        <v>45.010266940451743</v>
      </c>
      <c r="BT8">
        <v>1370</v>
      </c>
      <c r="BU8">
        <v>0</v>
      </c>
      <c r="BV8">
        <v>1</v>
      </c>
      <c r="BW8">
        <v>1</v>
      </c>
      <c r="BY8">
        <v>45.010266940451743</v>
      </c>
      <c r="BZ8">
        <v>1370</v>
      </c>
      <c r="CA8">
        <v>0</v>
      </c>
      <c r="CC8">
        <v>45.010266940451743</v>
      </c>
      <c r="CD8">
        <v>1370</v>
      </c>
      <c r="CG8">
        <v>2</v>
      </c>
      <c r="CH8">
        <v>11.75</v>
      </c>
    </row>
    <row r="9" spans="3:86">
      <c r="C9">
        <v>15</v>
      </c>
      <c r="D9">
        <v>7</v>
      </c>
      <c r="E9">
        <v>8700</v>
      </c>
      <c r="H9" t="s">
        <v>121</v>
      </c>
      <c r="J9" s="202">
        <v>36.328542094455855</v>
      </c>
      <c r="K9">
        <v>1</v>
      </c>
      <c r="L9" t="s">
        <v>49</v>
      </c>
      <c r="M9" t="s">
        <v>122</v>
      </c>
      <c r="N9" t="s">
        <v>403</v>
      </c>
      <c r="O9">
        <v>0</v>
      </c>
      <c r="P9">
        <v>0</v>
      </c>
      <c r="Q9">
        <v>1</v>
      </c>
      <c r="R9">
        <v>0</v>
      </c>
      <c r="S9">
        <v>0</v>
      </c>
      <c r="T9" t="s">
        <v>475</v>
      </c>
      <c r="U9" t="s">
        <v>402</v>
      </c>
      <c r="V9">
        <v>1</v>
      </c>
      <c r="W9">
        <v>0</v>
      </c>
      <c r="X9">
        <v>0</v>
      </c>
      <c r="Y9">
        <v>0</v>
      </c>
      <c r="Z9">
        <v>0</v>
      </c>
      <c r="AA9">
        <v>0</v>
      </c>
      <c r="AD9">
        <v>0</v>
      </c>
      <c r="AE9">
        <v>0</v>
      </c>
      <c r="AF9">
        <v>0</v>
      </c>
      <c r="AG9" t="s">
        <v>387</v>
      </c>
      <c r="AH9">
        <v>1</v>
      </c>
      <c r="AI9" t="s">
        <v>315</v>
      </c>
      <c r="AK9">
        <v>6.2422997946611911</v>
      </c>
      <c r="AL9">
        <v>0</v>
      </c>
      <c r="AM9">
        <v>6.2422997946611911</v>
      </c>
      <c r="AN9" s="202">
        <v>3</v>
      </c>
      <c r="AO9">
        <v>0</v>
      </c>
      <c r="AR9">
        <v>3.2857142857142856</v>
      </c>
      <c r="AS9">
        <v>10</v>
      </c>
      <c r="AT9">
        <v>5</v>
      </c>
      <c r="AU9">
        <v>50</v>
      </c>
      <c r="AV9">
        <v>0</v>
      </c>
      <c r="AW9">
        <v>0</v>
      </c>
      <c r="AX9">
        <v>1</v>
      </c>
      <c r="AY9">
        <v>0</v>
      </c>
      <c r="AZ9">
        <v>0</v>
      </c>
      <c r="BA9">
        <v>0</v>
      </c>
      <c r="BB9">
        <v>0</v>
      </c>
      <c r="BC9">
        <v>1</v>
      </c>
      <c r="BD9" s="202">
        <v>0</v>
      </c>
      <c r="BH9" t="s">
        <v>537</v>
      </c>
      <c r="BJ9" s="202">
        <v>49.774127310061601</v>
      </c>
      <c r="BK9" s="202">
        <v>1515</v>
      </c>
      <c r="BL9">
        <v>0</v>
      </c>
      <c r="BO9">
        <v>47.441478439425055</v>
      </c>
      <c r="BP9">
        <v>1444</v>
      </c>
      <c r="BQ9">
        <v>0</v>
      </c>
      <c r="BS9">
        <v>47.441478439425055</v>
      </c>
      <c r="BT9">
        <v>1444</v>
      </c>
      <c r="BU9">
        <v>0</v>
      </c>
      <c r="BV9">
        <v>1</v>
      </c>
      <c r="BW9">
        <v>1</v>
      </c>
      <c r="BY9">
        <v>47.441478439425055</v>
      </c>
      <c r="BZ9">
        <v>1444</v>
      </c>
      <c r="CA9">
        <v>0</v>
      </c>
      <c r="CC9">
        <v>47.441478439425055</v>
      </c>
      <c r="CD9">
        <v>1444</v>
      </c>
      <c r="CG9">
        <v>1</v>
      </c>
      <c r="CH9">
        <v>9.6999999999999993</v>
      </c>
    </row>
    <row r="10" spans="3:86">
      <c r="C10">
        <v>16</v>
      </c>
      <c r="D10">
        <v>8</v>
      </c>
      <c r="E10">
        <v>8700</v>
      </c>
      <c r="H10" t="s">
        <v>121</v>
      </c>
      <c r="J10" s="202">
        <v>51.986310746064341</v>
      </c>
      <c r="K10">
        <v>1</v>
      </c>
      <c r="L10" t="s">
        <v>49</v>
      </c>
      <c r="M10" t="s">
        <v>122</v>
      </c>
      <c r="N10" t="s">
        <v>403</v>
      </c>
      <c r="O10">
        <v>0</v>
      </c>
      <c r="P10">
        <v>0</v>
      </c>
      <c r="Q10">
        <v>1</v>
      </c>
      <c r="R10">
        <v>0</v>
      </c>
      <c r="S10">
        <v>0</v>
      </c>
      <c r="T10" t="s">
        <v>475</v>
      </c>
      <c r="U10" t="s">
        <v>402</v>
      </c>
      <c r="V10">
        <v>1</v>
      </c>
      <c r="W10">
        <v>0</v>
      </c>
      <c r="X10">
        <v>0</v>
      </c>
      <c r="Y10">
        <v>0</v>
      </c>
      <c r="Z10">
        <v>0</v>
      </c>
      <c r="AA10">
        <v>0</v>
      </c>
      <c r="AD10">
        <v>82.431211498973298</v>
      </c>
      <c r="AE10">
        <v>0</v>
      </c>
      <c r="AF10">
        <v>0</v>
      </c>
      <c r="AG10" t="s">
        <v>387</v>
      </c>
      <c r="AH10">
        <v>1</v>
      </c>
      <c r="AI10" t="s">
        <v>40</v>
      </c>
      <c r="AK10">
        <v>1.7741273100616017</v>
      </c>
      <c r="AL10">
        <v>0</v>
      </c>
      <c r="AM10">
        <v>84.205338809034913</v>
      </c>
      <c r="AN10" s="202">
        <v>2</v>
      </c>
      <c r="AO10">
        <v>0</v>
      </c>
      <c r="AR10">
        <v>2.7142857142857144</v>
      </c>
      <c r="AS10">
        <v>10</v>
      </c>
      <c r="AT10">
        <v>3</v>
      </c>
      <c r="AU10">
        <v>30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1</v>
      </c>
      <c r="BB10">
        <v>0</v>
      </c>
      <c r="BC10">
        <v>1</v>
      </c>
      <c r="BD10" s="202">
        <v>0</v>
      </c>
      <c r="BH10" t="s">
        <v>537</v>
      </c>
      <c r="BJ10" s="202">
        <v>48.361396303901429</v>
      </c>
      <c r="BK10" s="202">
        <v>1471.9999999999998</v>
      </c>
      <c r="BL10">
        <v>0</v>
      </c>
      <c r="BO10">
        <v>43.728952772073924</v>
      </c>
      <c r="BP10">
        <v>1331</v>
      </c>
      <c r="BQ10">
        <v>0</v>
      </c>
      <c r="BS10">
        <v>43.728952772073924</v>
      </c>
      <c r="BT10">
        <v>1331</v>
      </c>
      <c r="BU10">
        <v>0</v>
      </c>
      <c r="BV10">
        <v>1</v>
      </c>
      <c r="BW10">
        <v>1</v>
      </c>
      <c r="BY10">
        <v>43.728952772073924</v>
      </c>
      <c r="BZ10">
        <v>1331</v>
      </c>
      <c r="CA10">
        <v>0</v>
      </c>
      <c r="CC10">
        <v>43.728952772073924</v>
      </c>
      <c r="CD10">
        <v>1331</v>
      </c>
      <c r="CG10">
        <v>3</v>
      </c>
      <c r="CH10">
        <v>39.567500000000003</v>
      </c>
    </row>
    <row r="11" spans="3:86">
      <c r="C11">
        <v>18</v>
      </c>
      <c r="D11">
        <v>9</v>
      </c>
      <c r="E11">
        <v>8700</v>
      </c>
      <c r="H11" t="s">
        <v>121</v>
      </c>
      <c r="J11" s="202">
        <v>37.127994524298423</v>
      </c>
      <c r="K11">
        <v>1</v>
      </c>
      <c r="L11" t="s">
        <v>49</v>
      </c>
      <c r="M11" t="s">
        <v>122</v>
      </c>
      <c r="N11" t="s">
        <v>403</v>
      </c>
      <c r="O11">
        <v>0</v>
      </c>
      <c r="P11">
        <v>0</v>
      </c>
      <c r="Q11">
        <v>1</v>
      </c>
      <c r="R11">
        <v>0</v>
      </c>
      <c r="S11">
        <v>0</v>
      </c>
      <c r="T11" t="s">
        <v>477</v>
      </c>
      <c r="U11" t="s">
        <v>402</v>
      </c>
      <c r="V11">
        <v>1</v>
      </c>
      <c r="W11">
        <v>0</v>
      </c>
      <c r="X11">
        <v>0</v>
      </c>
      <c r="Y11">
        <v>0</v>
      </c>
      <c r="Z11">
        <v>0</v>
      </c>
      <c r="AA11">
        <v>0</v>
      </c>
      <c r="AD11">
        <v>66.234086242299796</v>
      </c>
      <c r="AE11">
        <v>0</v>
      </c>
      <c r="AF11">
        <v>0</v>
      </c>
      <c r="AG11" t="s">
        <v>387</v>
      </c>
      <c r="AH11">
        <v>1</v>
      </c>
      <c r="AI11" t="s">
        <v>327</v>
      </c>
      <c r="AK11">
        <v>2.0698151950718686</v>
      </c>
      <c r="AL11">
        <v>0</v>
      </c>
      <c r="AM11">
        <v>68.303901437371664</v>
      </c>
      <c r="AN11" s="202">
        <v>4</v>
      </c>
      <c r="AO11">
        <v>0</v>
      </c>
      <c r="AR11">
        <v>0.8571428571428571</v>
      </c>
      <c r="AS11">
        <v>8</v>
      </c>
      <c r="AT11">
        <v>5</v>
      </c>
      <c r="AU11">
        <v>40</v>
      </c>
      <c r="AV11">
        <v>1</v>
      </c>
      <c r="AW11">
        <v>1</v>
      </c>
      <c r="AX11">
        <v>1</v>
      </c>
      <c r="AY11">
        <v>0</v>
      </c>
      <c r="AZ11">
        <v>0</v>
      </c>
      <c r="BA11">
        <v>0</v>
      </c>
      <c r="BB11">
        <v>0</v>
      </c>
      <c r="BC11">
        <v>3</v>
      </c>
      <c r="BD11" s="202">
        <v>0</v>
      </c>
      <c r="BH11" t="s">
        <v>537</v>
      </c>
      <c r="BJ11" s="202">
        <v>47.277207392197127</v>
      </c>
      <c r="BK11" s="202">
        <v>1439</v>
      </c>
      <c r="BL11">
        <v>0</v>
      </c>
      <c r="BO11">
        <v>45.765913757700204</v>
      </c>
      <c r="BP11">
        <v>1393</v>
      </c>
      <c r="BQ11">
        <v>1</v>
      </c>
      <c r="BS11">
        <v>37.026694045174537</v>
      </c>
      <c r="BT11">
        <v>1127</v>
      </c>
      <c r="BU11">
        <v>1</v>
      </c>
      <c r="BV11">
        <v>0</v>
      </c>
      <c r="BW11">
        <v>0</v>
      </c>
      <c r="BX11">
        <v>37887</v>
      </c>
      <c r="BY11">
        <v>37.026694045174537</v>
      </c>
      <c r="BZ11">
        <v>1127</v>
      </c>
      <c r="CA11">
        <v>1</v>
      </c>
      <c r="CC11">
        <v>37.026694045174537</v>
      </c>
      <c r="CD11">
        <v>1127</v>
      </c>
      <c r="CG11">
        <v>4</v>
      </c>
      <c r="CH11">
        <v>86.19</v>
      </c>
    </row>
    <row r="12" spans="3:86">
      <c r="C12">
        <v>19</v>
      </c>
      <c r="D12">
        <v>10</v>
      </c>
      <c r="E12">
        <v>8700</v>
      </c>
      <c r="H12" t="s">
        <v>121</v>
      </c>
      <c r="J12" s="202">
        <v>48.947296372347708</v>
      </c>
      <c r="K12">
        <v>1</v>
      </c>
      <c r="L12" t="s">
        <v>34</v>
      </c>
      <c r="M12" t="s">
        <v>122</v>
      </c>
      <c r="N12" t="s">
        <v>403</v>
      </c>
      <c r="O12">
        <v>0</v>
      </c>
      <c r="P12">
        <v>0</v>
      </c>
      <c r="Q12">
        <v>1</v>
      </c>
      <c r="R12">
        <v>0</v>
      </c>
      <c r="S12">
        <v>0</v>
      </c>
      <c r="T12" t="s">
        <v>475</v>
      </c>
      <c r="U12" t="s">
        <v>402</v>
      </c>
      <c r="V12">
        <v>1</v>
      </c>
      <c r="W12">
        <v>0</v>
      </c>
      <c r="X12">
        <v>0</v>
      </c>
      <c r="Y12">
        <v>0</v>
      </c>
      <c r="Z12">
        <v>0</v>
      </c>
      <c r="AA12">
        <v>0</v>
      </c>
      <c r="AD12">
        <v>104.70636550308006</v>
      </c>
      <c r="AE12">
        <v>0</v>
      </c>
      <c r="AF12">
        <v>0</v>
      </c>
      <c r="AG12" t="s">
        <v>387</v>
      </c>
      <c r="AH12">
        <v>1</v>
      </c>
      <c r="AI12" t="s">
        <v>482</v>
      </c>
      <c r="AK12">
        <v>28.878850102669404</v>
      </c>
      <c r="AL12">
        <v>0</v>
      </c>
      <c r="AM12">
        <v>133.58521560574948</v>
      </c>
      <c r="AN12" s="202">
        <v>3</v>
      </c>
      <c r="AO12">
        <v>0</v>
      </c>
      <c r="AR12">
        <v>2</v>
      </c>
      <c r="AS12">
        <v>10</v>
      </c>
      <c r="AT12">
        <v>3.5</v>
      </c>
      <c r="AU12">
        <v>35</v>
      </c>
      <c r="AV12">
        <v>0</v>
      </c>
      <c r="AW12">
        <v>1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1</v>
      </c>
      <c r="BD12" s="202">
        <v>0</v>
      </c>
      <c r="BH12" t="s">
        <v>537</v>
      </c>
      <c r="BJ12" s="202">
        <v>31.145790554414781</v>
      </c>
      <c r="BK12" s="202">
        <v>947.99999999999989</v>
      </c>
      <c r="BL12">
        <v>0</v>
      </c>
      <c r="BO12">
        <v>29.634496919917865</v>
      </c>
      <c r="BP12">
        <v>902</v>
      </c>
      <c r="BQ12">
        <v>1</v>
      </c>
      <c r="BS12">
        <v>7.5893223819301845</v>
      </c>
      <c r="BT12">
        <v>231</v>
      </c>
      <c r="BU12">
        <v>1</v>
      </c>
      <c r="BV12">
        <v>0</v>
      </c>
      <c r="BW12">
        <v>0</v>
      </c>
      <c r="BX12">
        <v>37421</v>
      </c>
      <c r="BY12">
        <v>7.5893223819301845</v>
      </c>
      <c r="BZ12">
        <v>231</v>
      </c>
      <c r="CA12">
        <v>1</v>
      </c>
      <c r="CC12">
        <v>7.5893223819301845</v>
      </c>
      <c r="CD12">
        <v>231</v>
      </c>
      <c r="CG12">
        <v>3</v>
      </c>
      <c r="CH12">
        <v>41.980000000000004</v>
      </c>
    </row>
    <row r="13" spans="3:86">
      <c r="C13">
        <v>20</v>
      </c>
      <c r="D13">
        <v>11</v>
      </c>
      <c r="E13">
        <v>8700</v>
      </c>
      <c r="H13" t="s">
        <v>121</v>
      </c>
      <c r="J13" s="202">
        <v>39.452429842573579</v>
      </c>
      <c r="K13">
        <v>1</v>
      </c>
      <c r="L13" t="s">
        <v>49</v>
      </c>
      <c r="M13" t="s">
        <v>122</v>
      </c>
      <c r="N13" t="s">
        <v>403</v>
      </c>
      <c r="O13">
        <v>0</v>
      </c>
      <c r="P13">
        <v>0</v>
      </c>
      <c r="Q13">
        <v>1</v>
      </c>
      <c r="R13">
        <v>0</v>
      </c>
      <c r="S13">
        <v>0</v>
      </c>
      <c r="T13" t="s">
        <v>475</v>
      </c>
      <c r="U13" t="s">
        <v>402</v>
      </c>
      <c r="V13">
        <v>1</v>
      </c>
      <c r="W13">
        <v>0</v>
      </c>
      <c r="X13">
        <v>0</v>
      </c>
      <c r="Y13">
        <v>0</v>
      </c>
      <c r="Z13">
        <v>0</v>
      </c>
      <c r="AA13">
        <v>0</v>
      </c>
      <c r="AD13">
        <v>0</v>
      </c>
      <c r="AE13">
        <v>0</v>
      </c>
      <c r="AF13">
        <v>0</v>
      </c>
      <c r="AG13" t="s">
        <v>389</v>
      </c>
      <c r="AH13">
        <v>1</v>
      </c>
      <c r="AI13" t="s">
        <v>40</v>
      </c>
      <c r="AK13">
        <v>5.7166324435318279</v>
      </c>
      <c r="AL13">
        <v>0</v>
      </c>
      <c r="AM13">
        <v>5.7166324435318279</v>
      </c>
      <c r="AN13" s="202">
        <v>1</v>
      </c>
      <c r="AO13">
        <v>1</v>
      </c>
      <c r="AR13">
        <v>0.8571428571428571</v>
      </c>
      <c r="AS13">
        <v>5</v>
      </c>
      <c r="AT13">
        <v>8</v>
      </c>
      <c r="AU13">
        <v>40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1</v>
      </c>
      <c r="BB13">
        <v>0</v>
      </c>
      <c r="BC13">
        <v>1</v>
      </c>
      <c r="BD13" s="202">
        <v>0</v>
      </c>
      <c r="BH13" t="s">
        <v>537</v>
      </c>
      <c r="BJ13" s="202">
        <v>44.681724845995888</v>
      </c>
      <c r="BK13" s="202">
        <v>1359.9999999999998</v>
      </c>
      <c r="BL13">
        <v>0</v>
      </c>
      <c r="BO13">
        <v>40.312114989733061</v>
      </c>
      <c r="BP13">
        <v>1227</v>
      </c>
      <c r="BQ13">
        <v>0</v>
      </c>
      <c r="BS13">
        <v>40.312114989733061</v>
      </c>
      <c r="BT13">
        <v>1227</v>
      </c>
      <c r="BU13">
        <v>0</v>
      </c>
      <c r="BV13">
        <v>1</v>
      </c>
      <c r="BW13">
        <v>1</v>
      </c>
      <c r="BY13">
        <v>40.312114989733061</v>
      </c>
      <c r="BZ13">
        <v>1227</v>
      </c>
      <c r="CA13">
        <v>0</v>
      </c>
      <c r="CC13">
        <v>40.312114989733061</v>
      </c>
      <c r="CD13">
        <v>1227</v>
      </c>
      <c r="CG13">
        <v>2</v>
      </c>
      <c r="CH13">
        <v>20</v>
      </c>
    </row>
    <row r="14" spans="3:86">
      <c r="C14">
        <v>21</v>
      </c>
      <c r="D14">
        <v>12</v>
      </c>
      <c r="E14">
        <v>8700</v>
      </c>
      <c r="H14" t="s">
        <v>121</v>
      </c>
      <c r="J14" s="202">
        <v>67.518138261464756</v>
      </c>
      <c r="K14">
        <v>1</v>
      </c>
      <c r="L14" t="s">
        <v>34</v>
      </c>
      <c r="M14" t="s">
        <v>122</v>
      </c>
      <c r="N14" t="s">
        <v>403</v>
      </c>
      <c r="O14">
        <v>0</v>
      </c>
      <c r="P14">
        <v>0</v>
      </c>
      <c r="Q14">
        <v>1</v>
      </c>
      <c r="R14">
        <v>0</v>
      </c>
      <c r="S14">
        <v>0</v>
      </c>
      <c r="T14" t="s">
        <v>475</v>
      </c>
      <c r="U14" t="s">
        <v>402</v>
      </c>
      <c r="V14">
        <v>1</v>
      </c>
      <c r="W14">
        <v>0</v>
      </c>
      <c r="X14">
        <v>0</v>
      </c>
      <c r="Y14">
        <v>0</v>
      </c>
      <c r="Z14">
        <v>0</v>
      </c>
      <c r="AA14">
        <v>0</v>
      </c>
      <c r="AD14">
        <v>17.01848049281314</v>
      </c>
      <c r="AE14">
        <v>0</v>
      </c>
      <c r="AF14">
        <v>0</v>
      </c>
      <c r="AG14" t="s">
        <v>390</v>
      </c>
      <c r="AH14">
        <v>1</v>
      </c>
      <c r="AI14" t="s">
        <v>327</v>
      </c>
      <c r="AK14">
        <v>77.07597535934292</v>
      </c>
      <c r="AL14">
        <v>0</v>
      </c>
      <c r="AM14">
        <v>94.094455852156059</v>
      </c>
      <c r="AN14" s="202">
        <v>2</v>
      </c>
      <c r="AO14">
        <v>0</v>
      </c>
      <c r="AR14">
        <v>1.5714285714285714</v>
      </c>
      <c r="AS14">
        <v>10</v>
      </c>
      <c r="AT14">
        <v>4</v>
      </c>
      <c r="AU14">
        <v>40</v>
      </c>
      <c r="AV14">
        <v>1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1</v>
      </c>
      <c r="BD14" s="202">
        <v>1</v>
      </c>
      <c r="BJ14" s="202">
        <v>37.453798767967143</v>
      </c>
      <c r="BK14" s="202">
        <v>1139.9999999999998</v>
      </c>
      <c r="BL14">
        <v>0</v>
      </c>
      <c r="BO14">
        <v>32.689938398357292</v>
      </c>
      <c r="BP14">
        <v>995</v>
      </c>
      <c r="BQ14">
        <v>1</v>
      </c>
      <c r="BS14">
        <v>32.689938398357292</v>
      </c>
      <c r="BT14">
        <v>995</v>
      </c>
      <c r="BU14">
        <v>1</v>
      </c>
      <c r="BV14">
        <v>0</v>
      </c>
      <c r="BW14">
        <v>0</v>
      </c>
      <c r="BX14">
        <v>37993</v>
      </c>
      <c r="BY14">
        <v>32.689938398357292</v>
      </c>
      <c r="BZ14">
        <v>995</v>
      </c>
      <c r="CA14">
        <v>1</v>
      </c>
      <c r="CC14">
        <v>32.689938398357292</v>
      </c>
      <c r="CD14">
        <v>995</v>
      </c>
      <c r="CG14">
        <v>1</v>
      </c>
      <c r="CH14">
        <v>4.38</v>
      </c>
    </row>
    <row r="15" spans="3:86">
      <c r="C15">
        <v>22</v>
      </c>
      <c r="D15">
        <v>13</v>
      </c>
      <c r="E15">
        <v>8700</v>
      </c>
      <c r="H15" t="s">
        <v>121</v>
      </c>
      <c r="J15" s="202">
        <v>37.201916495550989</v>
      </c>
      <c r="K15">
        <v>1</v>
      </c>
      <c r="L15" t="s">
        <v>49</v>
      </c>
      <c r="M15" t="s">
        <v>122</v>
      </c>
      <c r="N15" t="s">
        <v>403</v>
      </c>
      <c r="O15">
        <v>0</v>
      </c>
      <c r="P15">
        <v>0</v>
      </c>
      <c r="Q15">
        <v>1</v>
      </c>
      <c r="R15">
        <v>0</v>
      </c>
      <c r="S15">
        <v>0</v>
      </c>
      <c r="T15" t="s">
        <v>475</v>
      </c>
      <c r="U15" t="s">
        <v>402</v>
      </c>
      <c r="V15">
        <v>1</v>
      </c>
      <c r="W15">
        <v>0</v>
      </c>
      <c r="X15">
        <v>0</v>
      </c>
      <c r="Y15">
        <v>0</v>
      </c>
      <c r="Z15">
        <v>0</v>
      </c>
      <c r="AA15">
        <v>0</v>
      </c>
      <c r="AD15">
        <v>0</v>
      </c>
      <c r="AE15">
        <v>0</v>
      </c>
      <c r="AF15">
        <v>0</v>
      </c>
      <c r="AG15" t="s">
        <v>389</v>
      </c>
      <c r="AH15">
        <v>1</v>
      </c>
      <c r="AI15" t="s">
        <v>143</v>
      </c>
      <c r="AK15">
        <v>15.145790554414784</v>
      </c>
      <c r="AL15">
        <v>0</v>
      </c>
      <c r="AM15">
        <v>15.145790554414784</v>
      </c>
      <c r="AN15" s="202">
        <v>5</v>
      </c>
      <c r="AO15">
        <v>0</v>
      </c>
      <c r="AR15">
        <v>3.1428571428571428</v>
      </c>
      <c r="AS15">
        <v>10</v>
      </c>
      <c r="AT15">
        <v>5</v>
      </c>
      <c r="AU15">
        <v>50</v>
      </c>
      <c r="AV15">
        <v>0</v>
      </c>
      <c r="AW15">
        <v>0</v>
      </c>
      <c r="AX15">
        <v>1</v>
      </c>
      <c r="AY15">
        <v>0</v>
      </c>
      <c r="AZ15">
        <v>0</v>
      </c>
      <c r="BA15">
        <v>1</v>
      </c>
      <c r="BB15">
        <v>0</v>
      </c>
      <c r="BC15">
        <v>2</v>
      </c>
      <c r="BD15" s="202">
        <v>1</v>
      </c>
      <c r="BJ15" s="202">
        <v>27.039014373716633</v>
      </c>
      <c r="BK15" s="202">
        <v>823</v>
      </c>
      <c r="BL15">
        <v>0</v>
      </c>
      <c r="BO15">
        <v>22.997946611909651</v>
      </c>
      <c r="BP15">
        <v>700</v>
      </c>
      <c r="BQ15">
        <v>1</v>
      </c>
      <c r="BS15">
        <v>11.466119096509241</v>
      </c>
      <c r="BT15">
        <v>349</v>
      </c>
      <c r="BU15">
        <v>1</v>
      </c>
      <c r="BV15">
        <v>0</v>
      </c>
      <c r="BW15">
        <v>0</v>
      </c>
      <c r="BX15">
        <v>37358</v>
      </c>
      <c r="BY15">
        <v>11.466119096509241</v>
      </c>
      <c r="BZ15">
        <v>349</v>
      </c>
      <c r="CA15">
        <v>1</v>
      </c>
      <c r="CC15">
        <v>11.466119096509241</v>
      </c>
      <c r="CD15">
        <v>349</v>
      </c>
      <c r="CG15">
        <v>3</v>
      </c>
      <c r="CH15">
        <v>42.92</v>
      </c>
    </row>
    <row r="16" spans="3:86">
      <c r="C16">
        <v>24</v>
      </c>
      <c r="D16">
        <v>14</v>
      </c>
      <c r="E16">
        <v>8700</v>
      </c>
      <c r="H16" t="s">
        <v>121</v>
      </c>
      <c r="J16" s="202">
        <v>33.68925393566051</v>
      </c>
      <c r="K16">
        <v>1</v>
      </c>
      <c r="L16" t="s">
        <v>49</v>
      </c>
      <c r="M16" t="s">
        <v>122</v>
      </c>
      <c r="N16" t="s">
        <v>403</v>
      </c>
      <c r="O16">
        <v>0</v>
      </c>
      <c r="P16">
        <v>0</v>
      </c>
      <c r="Q16">
        <v>1</v>
      </c>
      <c r="R16">
        <v>0</v>
      </c>
      <c r="S16">
        <v>0</v>
      </c>
      <c r="T16" t="s">
        <v>475</v>
      </c>
      <c r="U16" t="s">
        <v>402</v>
      </c>
      <c r="V16">
        <v>1</v>
      </c>
      <c r="W16">
        <v>0</v>
      </c>
      <c r="X16">
        <v>0</v>
      </c>
      <c r="Y16">
        <v>0</v>
      </c>
      <c r="Z16">
        <v>0</v>
      </c>
      <c r="AA16">
        <v>0</v>
      </c>
      <c r="AD16">
        <v>29.503080082135526</v>
      </c>
      <c r="AE16">
        <v>0</v>
      </c>
      <c r="AF16">
        <v>0</v>
      </c>
      <c r="AG16" t="s">
        <v>387</v>
      </c>
      <c r="AH16">
        <v>1</v>
      </c>
      <c r="AI16" t="s">
        <v>483</v>
      </c>
      <c r="AK16">
        <v>16.722792607802873</v>
      </c>
      <c r="AL16">
        <v>0</v>
      </c>
      <c r="AM16">
        <v>46.225872689938399</v>
      </c>
      <c r="AN16" s="202">
        <v>3</v>
      </c>
      <c r="AO16">
        <v>0</v>
      </c>
      <c r="AR16">
        <v>1.8571428571428572</v>
      </c>
      <c r="AS16">
        <v>5</v>
      </c>
      <c r="AT16">
        <v>8</v>
      </c>
      <c r="AU16">
        <v>40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1</v>
      </c>
      <c r="BB16">
        <v>0</v>
      </c>
      <c r="BC16">
        <v>2</v>
      </c>
      <c r="BD16" s="202">
        <v>0</v>
      </c>
      <c r="BH16" t="s">
        <v>537</v>
      </c>
      <c r="BJ16" s="202">
        <v>29.798767967145789</v>
      </c>
      <c r="BK16" s="202">
        <v>907</v>
      </c>
      <c r="BL16">
        <v>0</v>
      </c>
      <c r="BO16">
        <v>24.739219712525667</v>
      </c>
      <c r="BP16">
        <v>753</v>
      </c>
      <c r="BQ16">
        <v>1</v>
      </c>
      <c r="BS16">
        <v>6.4722792607802875</v>
      </c>
      <c r="BT16">
        <v>197</v>
      </c>
      <c r="BU16">
        <v>1</v>
      </c>
      <c r="BV16">
        <v>0</v>
      </c>
      <c r="BW16">
        <v>0</v>
      </c>
      <c r="BX16">
        <v>37489</v>
      </c>
      <c r="BY16">
        <v>6.4722792607802875</v>
      </c>
      <c r="BZ16">
        <v>197</v>
      </c>
      <c r="CA16">
        <v>1</v>
      </c>
      <c r="CC16">
        <v>6.4722792607802875</v>
      </c>
      <c r="CD16">
        <v>197</v>
      </c>
      <c r="CG16">
        <v>4</v>
      </c>
      <c r="CH16">
        <v>79.400000000000006</v>
      </c>
    </row>
    <row r="17" spans="3:86">
      <c r="C17">
        <v>25</v>
      </c>
      <c r="D17">
        <v>15</v>
      </c>
      <c r="E17">
        <v>8700</v>
      </c>
      <c r="H17" t="s">
        <v>121</v>
      </c>
      <c r="J17" s="202">
        <v>73.524982888432575</v>
      </c>
      <c r="K17">
        <v>1</v>
      </c>
      <c r="L17" t="s">
        <v>473</v>
      </c>
      <c r="M17" t="s">
        <v>122</v>
      </c>
      <c r="N17" t="s">
        <v>403</v>
      </c>
      <c r="O17">
        <v>0</v>
      </c>
      <c r="P17">
        <v>0</v>
      </c>
      <c r="Q17">
        <v>1</v>
      </c>
      <c r="R17">
        <v>0</v>
      </c>
      <c r="S17">
        <v>0</v>
      </c>
      <c r="T17" t="s">
        <v>478</v>
      </c>
      <c r="U17" t="s">
        <v>402</v>
      </c>
      <c r="V17">
        <v>1</v>
      </c>
      <c r="W17">
        <v>0</v>
      </c>
      <c r="X17">
        <v>0</v>
      </c>
      <c r="Y17">
        <v>0</v>
      </c>
      <c r="Z17">
        <v>0</v>
      </c>
      <c r="AA17">
        <v>0</v>
      </c>
      <c r="AD17">
        <v>1.0513347022587269</v>
      </c>
      <c r="AE17">
        <v>0</v>
      </c>
      <c r="AF17">
        <v>0</v>
      </c>
      <c r="AG17" t="s">
        <v>389</v>
      </c>
      <c r="AH17">
        <v>1</v>
      </c>
      <c r="AI17" t="s">
        <v>484</v>
      </c>
      <c r="AK17">
        <v>38.702258726899387</v>
      </c>
      <c r="AL17">
        <v>0</v>
      </c>
      <c r="AM17">
        <v>39.753593429158109</v>
      </c>
      <c r="AN17" s="202">
        <v>1</v>
      </c>
      <c r="AO17">
        <v>1</v>
      </c>
      <c r="AR17">
        <v>1.8571428571428572</v>
      </c>
      <c r="AS17">
        <v>12</v>
      </c>
      <c r="AT17">
        <v>3</v>
      </c>
      <c r="AU17">
        <v>36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1</v>
      </c>
      <c r="BB17">
        <v>0</v>
      </c>
      <c r="BC17">
        <v>1</v>
      </c>
      <c r="BD17" s="202">
        <v>0</v>
      </c>
      <c r="BH17" t="s">
        <v>537</v>
      </c>
      <c r="BJ17" s="202">
        <v>29.24024640657084</v>
      </c>
      <c r="BK17" s="202">
        <v>890</v>
      </c>
      <c r="BL17">
        <v>0</v>
      </c>
      <c r="BO17">
        <v>26.217659137577002</v>
      </c>
      <c r="BP17">
        <v>798</v>
      </c>
      <c r="BQ17">
        <v>0</v>
      </c>
      <c r="BS17">
        <v>26.217659137577002</v>
      </c>
      <c r="BT17">
        <v>798</v>
      </c>
      <c r="BU17">
        <v>0</v>
      </c>
      <c r="BW17">
        <v>1</v>
      </c>
      <c r="BY17">
        <v>26.217659137577002</v>
      </c>
      <c r="BZ17">
        <v>798</v>
      </c>
      <c r="CA17">
        <v>0</v>
      </c>
      <c r="CC17">
        <v>26.217659137577002</v>
      </c>
      <c r="CD17">
        <v>798</v>
      </c>
      <c r="CG17">
        <v>3</v>
      </c>
      <c r="CH17">
        <v>27.2</v>
      </c>
    </row>
    <row r="18" spans="3:86">
      <c r="C18">
        <v>27</v>
      </c>
      <c r="D18">
        <v>16</v>
      </c>
      <c r="E18">
        <v>8700</v>
      </c>
      <c r="H18" t="s">
        <v>121</v>
      </c>
      <c r="J18" s="202">
        <v>44.950034223134843</v>
      </c>
      <c r="K18">
        <v>1</v>
      </c>
      <c r="L18" t="s">
        <v>49</v>
      </c>
      <c r="M18" t="s">
        <v>122</v>
      </c>
      <c r="N18" t="s">
        <v>403</v>
      </c>
      <c r="O18">
        <v>0</v>
      </c>
      <c r="P18">
        <v>0</v>
      </c>
      <c r="Q18">
        <v>1</v>
      </c>
      <c r="R18">
        <v>0</v>
      </c>
      <c r="S18">
        <v>0</v>
      </c>
      <c r="T18" t="s">
        <v>475</v>
      </c>
      <c r="U18" t="s">
        <v>402</v>
      </c>
      <c r="V18">
        <v>1</v>
      </c>
      <c r="W18">
        <v>0</v>
      </c>
      <c r="X18">
        <v>0</v>
      </c>
      <c r="Y18">
        <v>0</v>
      </c>
      <c r="Z18">
        <v>0</v>
      </c>
      <c r="AA18">
        <v>0</v>
      </c>
      <c r="AD18">
        <v>8.4435318275154003</v>
      </c>
      <c r="AE18">
        <v>0</v>
      </c>
      <c r="AF18">
        <v>0</v>
      </c>
      <c r="AG18" t="s">
        <v>387</v>
      </c>
      <c r="AH18">
        <v>1</v>
      </c>
      <c r="AI18" t="s">
        <v>40</v>
      </c>
      <c r="AK18">
        <v>96.131416837782339</v>
      </c>
      <c r="AL18">
        <v>0</v>
      </c>
      <c r="AM18">
        <v>104.57494866529774</v>
      </c>
      <c r="AN18" s="202">
        <v>1</v>
      </c>
      <c r="AO18">
        <v>1</v>
      </c>
      <c r="AR18">
        <v>2</v>
      </c>
      <c r="AS18">
        <v>11</v>
      </c>
      <c r="AT18">
        <v>5</v>
      </c>
      <c r="AU18">
        <v>55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1</v>
      </c>
      <c r="BB18">
        <v>0</v>
      </c>
      <c r="BC18">
        <v>1</v>
      </c>
      <c r="BD18" s="202">
        <v>0</v>
      </c>
      <c r="BH18" t="s">
        <v>537</v>
      </c>
      <c r="BJ18" s="202">
        <v>25.429158110882955</v>
      </c>
      <c r="BK18" s="202">
        <v>774</v>
      </c>
      <c r="BL18">
        <v>0</v>
      </c>
      <c r="BO18">
        <v>21.946611909650926</v>
      </c>
      <c r="BP18">
        <v>668.00000000000011</v>
      </c>
      <c r="BQ18">
        <v>1</v>
      </c>
      <c r="BS18">
        <v>21.946611909650922</v>
      </c>
      <c r="BT18">
        <v>667.99999999999989</v>
      </c>
      <c r="BU18">
        <v>1</v>
      </c>
      <c r="BV18">
        <v>0</v>
      </c>
      <c r="BW18">
        <v>0</v>
      </c>
      <c r="BX18">
        <v>38093</v>
      </c>
      <c r="BY18">
        <v>21.946611909650922</v>
      </c>
      <c r="BZ18">
        <v>667.99999999999989</v>
      </c>
      <c r="CA18">
        <v>1</v>
      </c>
      <c r="CC18">
        <v>21.946611909650922</v>
      </c>
      <c r="CD18">
        <v>667.99999999999989</v>
      </c>
      <c r="CG18">
        <v>3</v>
      </c>
      <c r="CH18">
        <v>22.9</v>
      </c>
    </row>
    <row r="19" spans="3:86">
      <c r="C19">
        <v>28</v>
      </c>
      <c r="D19">
        <v>17</v>
      </c>
      <c r="E19">
        <v>8700</v>
      </c>
      <c r="H19" t="s">
        <v>121</v>
      </c>
      <c r="J19" s="202">
        <v>76.522929500342229</v>
      </c>
      <c r="K19">
        <v>1</v>
      </c>
      <c r="L19" t="s">
        <v>474</v>
      </c>
      <c r="M19" t="s">
        <v>122</v>
      </c>
      <c r="N19" t="s">
        <v>403</v>
      </c>
      <c r="O19">
        <v>0</v>
      </c>
      <c r="P19">
        <v>0</v>
      </c>
      <c r="Q19">
        <v>1</v>
      </c>
      <c r="R19">
        <v>0</v>
      </c>
      <c r="S19">
        <v>0</v>
      </c>
      <c r="T19" t="s">
        <v>475</v>
      </c>
      <c r="U19" t="s">
        <v>402</v>
      </c>
      <c r="V19">
        <v>1</v>
      </c>
      <c r="W19">
        <v>0</v>
      </c>
      <c r="X19">
        <v>0</v>
      </c>
      <c r="Y19">
        <v>0</v>
      </c>
      <c r="Z19">
        <v>0</v>
      </c>
      <c r="AA19">
        <v>0</v>
      </c>
      <c r="AD19">
        <v>60.024640657084191</v>
      </c>
      <c r="AE19">
        <v>0</v>
      </c>
      <c r="AF19">
        <v>0</v>
      </c>
      <c r="AG19" t="s">
        <v>387</v>
      </c>
      <c r="AH19">
        <v>1</v>
      </c>
      <c r="AI19" t="s">
        <v>327</v>
      </c>
      <c r="AK19">
        <v>24.640657084188913</v>
      </c>
      <c r="AL19">
        <v>0</v>
      </c>
      <c r="AM19">
        <v>84.665297741273108</v>
      </c>
      <c r="AN19" s="202">
        <v>1</v>
      </c>
      <c r="AO19">
        <v>1</v>
      </c>
      <c r="AR19">
        <v>1.8571428571428572</v>
      </c>
      <c r="AS19">
        <v>10</v>
      </c>
      <c r="AT19">
        <v>5</v>
      </c>
      <c r="AU19">
        <v>50</v>
      </c>
      <c r="AV19">
        <v>1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1</v>
      </c>
      <c r="BD19" s="202">
        <v>0</v>
      </c>
      <c r="BH19" t="s">
        <v>537</v>
      </c>
      <c r="BJ19" s="202">
        <v>24.903490759753595</v>
      </c>
      <c r="BK19" s="202">
        <v>758</v>
      </c>
      <c r="BL19">
        <v>1</v>
      </c>
      <c r="BN19">
        <v>12.681724845995893</v>
      </c>
      <c r="BO19">
        <v>13.535934291581109</v>
      </c>
      <c r="BP19">
        <v>412</v>
      </c>
      <c r="BQ19">
        <v>0</v>
      </c>
      <c r="BS19">
        <v>20.895277207392198</v>
      </c>
      <c r="BT19">
        <v>636</v>
      </c>
      <c r="BU19">
        <v>1</v>
      </c>
      <c r="BW19">
        <v>1</v>
      </c>
      <c r="BX19">
        <v>37853</v>
      </c>
      <c r="BY19">
        <v>13.535934291581109</v>
      </c>
      <c r="BZ19">
        <v>412</v>
      </c>
      <c r="CA19">
        <v>0</v>
      </c>
      <c r="CC19">
        <v>20.895277207392198</v>
      </c>
      <c r="CD19">
        <v>636</v>
      </c>
      <c r="CG19">
        <v>3</v>
      </c>
      <c r="CH19">
        <v>31.5</v>
      </c>
    </row>
    <row r="20" spans="3:86">
      <c r="C20">
        <v>29</v>
      </c>
      <c r="D20">
        <v>18</v>
      </c>
      <c r="E20">
        <v>8700</v>
      </c>
      <c r="H20" t="s">
        <v>121</v>
      </c>
      <c r="J20" s="202">
        <v>43.162217659137575</v>
      </c>
      <c r="K20">
        <v>1</v>
      </c>
      <c r="L20" t="s">
        <v>49</v>
      </c>
      <c r="M20" t="s">
        <v>122</v>
      </c>
      <c r="N20" t="s">
        <v>403</v>
      </c>
      <c r="O20">
        <v>0</v>
      </c>
      <c r="P20">
        <v>0</v>
      </c>
      <c r="Q20">
        <v>1</v>
      </c>
      <c r="R20">
        <v>0</v>
      </c>
      <c r="S20">
        <v>0</v>
      </c>
      <c r="T20" t="s">
        <v>475</v>
      </c>
      <c r="U20" t="s">
        <v>402</v>
      </c>
      <c r="V20">
        <v>1</v>
      </c>
      <c r="W20">
        <v>0</v>
      </c>
      <c r="X20">
        <v>0</v>
      </c>
      <c r="Y20">
        <v>0</v>
      </c>
      <c r="Z20">
        <v>0</v>
      </c>
      <c r="AA20">
        <v>0</v>
      </c>
      <c r="AD20">
        <v>60.024640657084191</v>
      </c>
      <c r="AE20">
        <v>1</v>
      </c>
      <c r="AF20">
        <v>0</v>
      </c>
      <c r="AG20" t="s">
        <v>387</v>
      </c>
      <c r="AH20">
        <v>1</v>
      </c>
      <c r="AI20" t="s">
        <v>327</v>
      </c>
      <c r="AK20">
        <v>5.9466119096509242</v>
      </c>
      <c r="AL20">
        <v>18.924024640657084</v>
      </c>
      <c r="AM20">
        <v>84.895277207392198</v>
      </c>
      <c r="AN20" s="202">
        <v>2</v>
      </c>
      <c r="AO20">
        <v>0</v>
      </c>
      <c r="AR20">
        <v>1.8571428571428572</v>
      </c>
      <c r="AS20">
        <v>10</v>
      </c>
      <c r="AT20">
        <v>5</v>
      </c>
      <c r="AU20">
        <v>50</v>
      </c>
      <c r="AV20">
        <v>1</v>
      </c>
      <c r="AW20">
        <v>1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2</v>
      </c>
      <c r="BD20" s="202">
        <v>1</v>
      </c>
      <c r="BJ20" s="202">
        <v>5.9466119096509242</v>
      </c>
      <c r="BK20" s="202">
        <v>181</v>
      </c>
      <c r="BL20">
        <v>0</v>
      </c>
      <c r="BO20">
        <v>5.0595482546201236</v>
      </c>
      <c r="BP20">
        <v>154.00000000000003</v>
      </c>
      <c r="BQ20">
        <v>1</v>
      </c>
      <c r="BS20">
        <v>5.0595482546201236</v>
      </c>
      <c r="BT20">
        <v>154.00000000000003</v>
      </c>
      <c r="BU20">
        <v>1</v>
      </c>
      <c r="BW20">
        <v>0</v>
      </c>
      <c r="BX20">
        <v>37680</v>
      </c>
      <c r="BY20">
        <v>5.0595482546201236</v>
      </c>
      <c r="BZ20">
        <v>154.00000000000003</v>
      </c>
      <c r="CA20">
        <v>1</v>
      </c>
      <c r="CC20">
        <v>5.0595482546201236</v>
      </c>
      <c r="CD20">
        <v>154.00000000000003</v>
      </c>
      <c r="CG20">
        <v>3</v>
      </c>
      <c r="CH20">
        <v>39.569999999999993</v>
      </c>
    </row>
    <row r="21" spans="3:86">
      <c r="C21">
        <v>30</v>
      </c>
      <c r="D21">
        <v>19</v>
      </c>
      <c r="E21">
        <v>8700</v>
      </c>
      <c r="H21" t="s">
        <v>121</v>
      </c>
      <c r="J21" s="202">
        <v>41.169062286105408</v>
      </c>
      <c r="K21">
        <v>1</v>
      </c>
      <c r="L21" t="s">
        <v>49</v>
      </c>
      <c r="M21" t="s">
        <v>122</v>
      </c>
      <c r="N21" t="s">
        <v>403</v>
      </c>
      <c r="O21">
        <v>0</v>
      </c>
      <c r="P21">
        <v>0</v>
      </c>
      <c r="Q21">
        <v>1</v>
      </c>
      <c r="R21">
        <v>0</v>
      </c>
      <c r="S21">
        <v>0</v>
      </c>
      <c r="T21" t="s">
        <v>475</v>
      </c>
      <c r="U21" t="s">
        <v>402</v>
      </c>
      <c r="V21">
        <v>1</v>
      </c>
      <c r="W21">
        <v>0</v>
      </c>
      <c r="X21">
        <v>0</v>
      </c>
      <c r="Y21">
        <v>0</v>
      </c>
      <c r="Z21">
        <v>0</v>
      </c>
      <c r="AA21">
        <v>0</v>
      </c>
      <c r="AD21">
        <v>36.008213552361397</v>
      </c>
      <c r="AE21">
        <v>0</v>
      </c>
      <c r="AF21">
        <v>0</v>
      </c>
      <c r="AG21" t="s">
        <v>387</v>
      </c>
      <c r="AH21">
        <v>1</v>
      </c>
      <c r="AI21" t="s">
        <v>40</v>
      </c>
      <c r="AK21">
        <v>1.0513347022587269</v>
      </c>
      <c r="AL21">
        <v>0</v>
      </c>
      <c r="AM21">
        <v>37.059548254620125</v>
      </c>
      <c r="AN21" s="202">
        <v>1</v>
      </c>
      <c r="AO21">
        <v>1</v>
      </c>
      <c r="AR21">
        <v>2</v>
      </c>
      <c r="AS21">
        <v>12</v>
      </c>
      <c r="AT21">
        <v>5</v>
      </c>
      <c r="AU21">
        <v>60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1</v>
      </c>
      <c r="BB21">
        <v>0</v>
      </c>
      <c r="BC21">
        <v>1</v>
      </c>
      <c r="BD21" s="202">
        <v>0</v>
      </c>
      <c r="BH21" t="s">
        <v>537</v>
      </c>
      <c r="BJ21" s="202">
        <v>20.960985626283367</v>
      </c>
      <c r="BK21" s="202">
        <v>638</v>
      </c>
      <c r="BL21">
        <v>0</v>
      </c>
      <c r="BO21">
        <v>19.022587268993838</v>
      </c>
      <c r="BP21">
        <v>578.99999999999989</v>
      </c>
      <c r="BQ21">
        <v>0</v>
      </c>
      <c r="BS21">
        <v>19.022587268993838</v>
      </c>
      <c r="BT21">
        <v>578.99999999999989</v>
      </c>
      <c r="BU21">
        <v>0</v>
      </c>
      <c r="BW21">
        <v>1</v>
      </c>
      <c r="BY21">
        <v>19.022587268993838</v>
      </c>
      <c r="BZ21">
        <v>578.99999999999989</v>
      </c>
      <c r="CA21">
        <v>0</v>
      </c>
      <c r="CC21">
        <v>19.022587268993838</v>
      </c>
      <c r="CD21">
        <v>578.99999999999989</v>
      </c>
      <c r="CG21">
        <v>3</v>
      </c>
      <c r="CH21">
        <v>21.75</v>
      </c>
    </row>
    <row r="22" spans="3:86">
      <c r="C22">
        <v>31</v>
      </c>
      <c r="D22">
        <v>20</v>
      </c>
      <c r="E22">
        <v>8700</v>
      </c>
      <c r="H22" t="s">
        <v>121</v>
      </c>
      <c r="J22" s="202">
        <v>45.13620807665982</v>
      </c>
      <c r="K22">
        <v>1</v>
      </c>
      <c r="L22" t="s">
        <v>49</v>
      </c>
      <c r="M22" t="s">
        <v>122</v>
      </c>
      <c r="N22" t="s">
        <v>403</v>
      </c>
      <c r="O22">
        <v>0</v>
      </c>
      <c r="P22">
        <v>0</v>
      </c>
      <c r="Q22">
        <v>1</v>
      </c>
      <c r="R22">
        <v>0</v>
      </c>
      <c r="S22">
        <v>0</v>
      </c>
      <c r="T22" t="s">
        <v>475</v>
      </c>
      <c r="U22" t="s">
        <v>402</v>
      </c>
      <c r="V22">
        <v>1</v>
      </c>
      <c r="W22">
        <v>0</v>
      </c>
      <c r="X22">
        <v>0</v>
      </c>
      <c r="Y22">
        <v>0</v>
      </c>
      <c r="Z22">
        <v>0</v>
      </c>
      <c r="AA22">
        <v>0</v>
      </c>
      <c r="AD22">
        <v>136.08213552361397</v>
      </c>
      <c r="AE22">
        <v>0</v>
      </c>
      <c r="AF22">
        <v>0</v>
      </c>
      <c r="AG22" t="s">
        <v>387</v>
      </c>
      <c r="AH22">
        <v>1</v>
      </c>
      <c r="AI22" t="s">
        <v>40</v>
      </c>
      <c r="AK22">
        <v>19.318275154004105</v>
      </c>
      <c r="AL22">
        <v>0</v>
      </c>
      <c r="AM22">
        <v>155.40041067761808</v>
      </c>
      <c r="AN22" s="202">
        <v>4</v>
      </c>
      <c r="AO22">
        <v>0</v>
      </c>
      <c r="AR22">
        <v>1.1428571428571428</v>
      </c>
      <c r="AS22">
        <v>10</v>
      </c>
      <c r="AT22">
        <v>3</v>
      </c>
      <c r="AU22">
        <v>30</v>
      </c>
      <c r="AV22">
        <v>0</v>
      </c>
      <c r="AW22">
        <v>1</v>
      </c>
      <c r="AX22">
        <v>0</v>
      </c>
      <c r="AY22">
        <v>0</v>
      </c>
      <c r="AZ22">
        <v>0</v>
      </c>
      <c r="BA22">
        <v>1</v>
      </c>
      <c r="BB22">
        <v>0</v>
      </c>
      <c r="BC22">
        <v>2</v>
      </c>
      <c r="BD22" s="202">
        <v>0</v>
      </c>
      <c r="BH22" t="s">
        <v>537</v>
      </c>
      <c r="BJ22" s="202">
        <v>19.581108829568791</v>
      </c>
      <c r="BK22" s="202">
        <v>596.00000000000011</v>
      </c>
      <c r="BL22">
        <v>0</v>
      </c>
      <c r="BO22">
        <v>12.550308008213554</v>
      </c>
      <c r="BP22">
        <v>382.00000000000006</v>
      </c>
      <c r="BQ22">
        <v>0</v>
      </c>
      <c r="BS22">
        <v>12.550308008213554</v>
      </c>
      <c r="BT22">
        <v>382.00000000000006</v>
      </c>
      <c r="BU22">
        <v>0</v>
      </c>
      <c r="BW22">
        <v>1</v>
      </c>
      <c r="BY22">
        <v>12.550308008213554</v>
      </c>
      <c r="BZ22">
        <v>382.00000000000006</v>
      </c>
      <c r="CA22">
        <v>0</v>
      </c>
      <c r="CC22">
        <v>12.550308008213554</v>
      </c>
      <c r="CD22">
        <v>382.00000000000006</v>
      </c>
      <c r="CG22">
        <v>4</v>
      </c>
      <c r="CH22">
        <v>84.4</v>
      </c>
    </row>
    <row r="23" spans="3:86">
      <c r="C23">
        <v>32</v>
      </c>
      <c r="D23">
        <v>21</v>
      </c>
      <c r="E23">
        <v>8700</v>
      </c>
      <c r="H23" t="s">
        <v>121</v>
      </c>
      <c r="J23" s="202">
        <v>61.875427789185487</v>
      </c>
      <c r="K23">
        <v>1</v>
      </c>
      <c r="L23" t="s">
        <v>474</v>
      </c>
      <c r="M23" t="s">
        <v>122</v>
      </c>
      <c r="N23" t="s">
        <v>403</v>
      </c>
      <c r="O23">
        <v>0</v>
      </c>
      <c r="P23">
        <v>0</v>
      </c>
      <c r="Q23">
        <v>1</v>
      </c>
      <c r="R23">
        <v>0</v>
      </c>
      <c r="S23">
        <v>0</v>
      </c>
      <c r="T23" t="s">
        <v>475</v>
      </c>
      <c r="U23" t="s">
        <v>402</v>
      </c>
      <c r="V23">
        <v>1</v>
      </c>
      <c r="W23">
        <v>0</v>
      </c>
      <c r="X23">
        <v>0</v>
      </c>
      <c r="Y23">
        <v>0</v>
      </c>
      <c r="Z23">
        <v>0</v>
      </c>
      <c r="AA23">
        <v>0</v>
      </c>
      <c r="AD23">
        <v>62.685831622176593</v>
      </c>
      <c r="AE23">
        <v>0</v>
      </c>
      <c r="AF23">
        <v>0</v>
      </c>
      <c r="AG23" t="s">
        <v>388</v>
      </c>
      <c r="AH23">
        <v>0</v>
      </c>
      <c r="AI23" t="s">
        <v>327</v>
      </c>
      <c r="AK23">
        <v>3.0225872689938398</v>
      </c>
      <c r="AL23">
        <v>0</v>
      </c>
      <c r="AM23">
        <v>65.708418891170425</v>
      </c>
      <c r="AN23" s="202">
        <v>1</v>
      </c>
      <c r="AO23">
        <v>1</v>
      </c>
      <c r="AR23">
        <v>1.8571428571428572</v>
      </c>
      <c r="AS23">
        <v>11</v>
      </c>
      <c r="AT23">
        <v>5</v>
      </c>
      <c r="AU23">
        <v>55</v>
      </c>
      <c r="AV23">
        <v>1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1</v>
      </c>
      <c r="BD23" s="202">
        <v>0</v>
      </c>
      <c r="BH23" t="s">
        <v>537</v>
      </c>
      <c r="BJ23" s="202">
        <v>19.318275154004109</v>
      </c>
      <c r="BK23" s="202">
        <v>588.00000000000011</v>
      </c>
      <c r="BL23">
        <v>0</v>
      </c>
      <c r="BO23">
        <v>15.770020533880903</v>
      </c>
      <c r="BP23">
        <v>480</v>
      </c>
      <c r="BQ23">
        <v>0</v>
      </c>
      <c r="BS23">
        <v>15.770020533880903</v>
      </c>
      <c r="BT23">
        <v>480</v>
      </c>
      <c r="BU23">
        <v>0</v>
      </c>
      <c r="BW23">
        <v>1</v>
      </c>
      <c r="BY23">
        <v>15.770020533880903</v>
      </c>
      <c r="BZ23">
        <v>480</v>
      </c>
      <c r="CA23">
        <v>0</v>
      </c>
      <c r="CC23">
        <v>15.770020533880903</v>
      </c>
      <c r="CD23">
        <v>480</v>
      </c>
      <c r="CG23">
        <v>1</v>
      </c>
      <c r="CH23">
        <v>5.22</v>
      </c>
    </row>
    <row r="24" spans="3:86">
      <c r="C24">
        <v>19</v>
      </c>
      <c r="D24">
        <v>22</v>
      </c>
      <c r="E24">
        <v>9700</v>
      </c>
      <c r="H24" t="s">
        <v>121</v>
      </c>
      <c r="J24" s="202">
        <v>50.009582477754961</v>
      </c>
      <c r="K24">
        <v>0</v>
      </c>
      <c r="L24" t="s">
        <v>49</v>
      </c>
      <c r="M24" t="s">
        <v>93</v>
      </c>
      <c r="N24" t="s">
        <v>504</v>
      </c>
      <c r="O24">
        <v>0</v>
      </c>
      <c r="P24">
        <v>0</v>
      </c>
      <c r="Q24">
        <v>0</v>
      </c>
      <c r="R24">
        <v>1</v>
      </c>
      <c r="S24">
        <v>0</v>
      </c>
      <c r="T24" t="s">
        <v>221</v>
      </c>
      <c r="U24" t="s">
        <v>504</v>
      </c>
      <c r="V24">
        <v>0</v>
      </c>
      <c r="W24">
        <v>0</v>
      </c>
      <c r="X24">
        <v>0</v>
      </c>
      <c r="Y24">
        <v>0</v>
      </c>
      <c r="Z24">
        <v>1</v>
      </c>
      <c r="AA24">
        <v>0</v>
      </c>
      <c r="AD24">
        <v>75.991786447638603</v>
      </c>
      <c r="AE24">
        <v>1</v>
      </c>
      <c r="AF24">
        <v>0</v>
      </c>
      <c r="AG24" t="s">
        <v>387</v>
      </c>
      <c r="AH24">
        <v>1</v>
      </c>
      <c r="AI24" t="s">
        <v>157</v>
      </c>
      <c r="AK24">
        <v>20.862422997946613</v>
      </c>
      <c r="AL24">
        <v>56.016427104722794</v>
      </c>
      <c r="AM24">
        <v>152.87063655030801</v>
      </c>
      <c r="AN24" s="202">
        <v>2</v>
      </c>
      <c r="AO24">
        <v>0</v>
      </c>
      <c r="AR24">
        <v>1.5714285714285714</v>
      </c>
      <c r="AS24">
        <v>10</v>
      </c>
      <c r="AT24">
        <v>5</v>
      </c>
      <c r="AU24">
        <v>50</v>
      </c>
      <c r="AV24">
        <v>1</v>
      </c>
      <c r="AW24">
        <v>0</v>
      </c>
      <c r="AX24">
        <v>0</v>
      </c>
      <c r="AY24">
        <v>0</v>
      </c>
      <c r="AZ24">
        <v>0</v>
      </c>
      <c r="BA24">
        <v>1</v>
      </c>
      <c r="BB24">
        <v>0</v>
      </c>
      <c r="BC24">
        <v>2</v>
      </c>
      <c r="BD24" s="202">
        <v>0</v>
      </c>
      <c r="BJ24" s="202">
        <v>69.158110882956876</v>
      </c>
      <c r="BK24" s="202">
        <v>2105</v>
      </c>
      <c r="BL24">
        <v>1</v>
      </c>
      <c r="BN24">
        <v>31.770020533880903</v>
      </c>
      <c r="BO24">
        <v>33.445585215605746</v>
      </c>
      <c r="BP24">
        <v>1017.9999999999999</v>
      </c>
      <c r="BQ24">
        <v>1</v>
      </c>
      <c r="BS24">
        <v>52.106776180698155</v>
      </c>
      <c r="BT24">
        <v>1586</v>
      </c>
      <c r="BU24">
        <v>1</v>
      </c>
      <c r="BV24">
        <v>0</v>
      </c>
      <c r="BW24">
        <v>0</v>
      </c>
      <c r="BX24">
        <v>36961</v>
      </c>
      <c r="BY24">
        <v>33.445585215605746</v>
      </c>
      <c r="BZ24">
        <v>1017.9999999999999</v>
      </c>
      <c r="CA24">
        <v>1</v>
      </c>
      <c r="CC24">
        <v>47.080082135523611</v>
      </c>
      <c r="CD24">
        <v>1433</v>
      </c>
      <c r="CE24" t="s">
        <v>38</v>
      </c>
      <c r="CF24" t="s">
        <v>38</v>
      </c>
      <c r="CG24">
        <v>3</v>
      </c>
      <c r="CH24">
        <v>23.29</v>
      </c>
    </row>
    <row r="25" spans="3:86">
      <c r="C25">
        <v>22</v>
      </c>
      <c r="D25">
        <v>23</v>
      </c>
      <c r="E25">
        <v>9700</v>
      </c>
      <c r="H25" t="s">
        <v>121</v>
      </c>
      <c r="J25" s="202">
        <v>77.497604380561256</v>
      </c>
      <c r="K25">
        <v>1</v>
      </c>
      <c r="L25" t="s">
        <v>170</v>
      </c>
      <c r="M25" t="s">
        <v>239</v>
      </c>
      <c r="N25" t="s">
        <v>107</v>
      </c>
      <c r="O25">
        <v>1</v>
      </c>
      <c r="P25">
        <v>0</v>
      </c>
      <c r="Q25">
        <v>0</v>
      </c>
      <c r="R25">
        <v>0</v>
      </c>
      <c r="S25">
        <v>0</v>
      </c>
      <c r="T25" t="s">
        <v>155</v>
      </c>
      <c r="U25" t="s">
        <v>402</v>
      </c>
      <c r="V25">
        <v>1</v>
      </c>
      <c r="W25">
        <v>0</v>
      </c>
      <c r="X25">
        <v>0</v>
      </c>
      <c r="Y25">
        <v>0</v>
      </c>
      <c r="Z25">
        <v>0</v>
      </c>
      <c r="AA25">
        <v>0</v>
      </c>
      <c r="AD25">
        <v>0</v>
      </c>
      <c r="AE25">
        <v>1</v>
      </c>
      <c r="AF25">
        <v>1</v>
      </c>
      <c r="AG25" t="s">
        <v>389</v>
      </c>
      <c r="AH25">
        <v>1</v>
      </c>
      <c r="AI25" t="s">
        <v>315</v>
      </c>
      <c r="AK25">
        <v>14.390143737166325</v>
      </c>
      <c r="AL25">
        <v>4.9609856262833674</v>
      </c>
      <c r="AM25">
        <v>19.351129363449694</v>
      </c>
      <c r="AN25" s="202">
        <v>1</v>
      </c>
      <c r="AO25">
        <v>1</v>
      </c>
      <c r="AR25">
        <v>1.5714285714285714</v>
      </c>
      <c r="AS25">
        <v>10</v>
      </c>
      <c r="AT25">
        <v>5</v>
      </c>
      <c r="AU25">
        <v>50</v>
      </c>
      <c r="AV25">
        <v>0</v>
      </c>
      <c r="AW25">
        <v>0</v>
      </c>
      <c r="AX25">
        <v>1</v>
      </c>
      <c r="AY25">
        <v>0</v>
      </c>
      <c r="AZ25">
        <v>0</v>
      </c>
      <c r="BA25">
        <v>0</v>
      </c>
      <c r="BB25">
        <v>0</v>
      </c>
      <c r="BC25">
        <v>1</v>
      </c>
      <c r="BD25" s="202">
        <v>1</v>
      </c>
      <c r="BJ25" s="202">
        <v>67.416837782340863</v>
      </c>
      <c r="BK25" s="202">
        <v>2052</v>
      </c>
      <c r="BL25">
        <v>1</v>
      </c>
      <c r="BN25">
        <v>54.406570841889121</v>
      </c>
      <c r="BO25">
        <v>54.899383983572896</v>
      </c>
      <c r="BP25">
        <v>1671</v>
      </c>
      <c r="BQ25">
        <v>1</v>
      </c>
      <c r="BS25">
        <v>54.899383983572896</v>
      </c>
      <c r="BT25">
        <v>1671</v>
      </c>
      <c r="BU25">
        <v>1</v>
      </c>
      <c r="BV25">
        <v>0</v>
      </c>
      <c r="BW25">
        <v>0</v>
      </c>
      <c r="BX25">
        <v>37629</v>
      </c>
      <c r="BY25">
        <v>54.899383983572896</v>
      </c>
      <c r="BZ25">
        <v>1671</v>
      </c>
      <c r="CA25">
        <v>1</v>
      </c>
      <c r="CC25">
        <v>54.899383983572896</v>
      </c>
      <c r="CD25">
        <v>1671</v>
      </c>
      <c r="CE25" t="s">
        <v>38</v>
      </c>
      <c r="CF25" t="s">
        <v>38</v>
      </c>
      <c r="CG25">
        <v>1</v>
      </c>
      <c r="CH25">
        <v>5.78</v>
      </c>
    </row>
    <row r="26" spans="3:86">
      <c r="C26">
        <v>33</v>
      </c>
      <c r="D26">
        <v>24</v>
      </c>
      <c r="E26">
        <v>9700</v>
      </c>
      <c r="H26" t="s">
        <v>121</v>
      </c>
      <c r="J26" s="202">
        <v>53.388090349075974</v>
      </c>
      <c r="K26">
        <v>0</v>
      </c>
      <c r="L26" t="s">
        <v>49</v>
      </c>
      <c r="M26" t="s">
        <v>281</v>
      </c>
      <c r="N26" t="s">
        <v>510</v>
      </c>
      <c r="O26">
        <v>0</v>
      </c>
      <c r="P26">
        <v>1</v>
      </c>
      <c r="Q26">
        <v>0</v>
      </c>
      <c r="R26">
        <v>0</v>
      </c>
      <c r="S26">
        <v>0</v>
      </c>
      <c r="T26" t="s">
        <v>186</v>
      </c>
      <c r="U26" t="s">
        <v>507</v>
      </c>
      <c r="V26">
        <v>0</v>
      </c>
      <c r="W26">
        <v>1</v>
      </c>
      <c r="X26">
        <v>0</v>
      </c>
      <c r="Y26">
        <v>0</v>
      </c>
      <c r="Z26">
        <v>0</v>
      </c>
      <c r="AA26">
        <v>0</v>
      </c>
      <c r="AD26">
        <v>0</v>
      </c>
      <c r="AE26">
        <v>0</v>
      </c>
      <c r="AF26">
        <v>0</v>
      </c>
      <c r="AG26" t="s">
        <v>389</v>
      </c>
      <c r="AH26">
        <v>1</v>
      </c>
      <c r="AI26" t="s">
        <v>327</v>
      </c>
      <c r="AK26">
        <v>7.5893223819301845</v>
      </c>
      <c r="AL26">
        <v>0</v>
      </c>
      <c r="AM26">
        <v>7.5893223819301845</v>
      </c>
      <c r="AN26" s="202">
        <v>4</v>
      </c>
      <c r="AO26">
        <v>0</v>
      </c>
      <c r="AR26">
        <v>2.1428571428571428</v>
      </c>
      <c r="AS26">
        <v>10</v>
      </c>
      <c r="AT26">
        <v>5</v>
      </c>
      <c r="AU26">
        <v>50</v>
      </c>
      <c r="AV26">
        <v>1</v>
      </c>
      <c r="AW26">
        <v>1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2</v>
      </c>
      <c r="BD26" s="202">
        <v>0</v>
      </c>
      <c r="BJ26" s="202">
        <v>67.383983572895275</v>
      </c>
      <c r="BK26" s="202">
        <v>2051</v>
      </c>
      <c r="BL26">
        <v>0</v>
      </c>
      <c r="BO26">
        <v>69.092402464065714</v>
      </c>
      <c r="BP26">
        <v>2103.0000000000005</v>
      </c>
      <c r="BQ26">
        <v>0</v>
      </c>
      <c r="BS26">
        <v>69.092402464065714</v>
      </c>
      <c r="BT26">
        <v>2103.0000000000005</v>
      </c>
      <c r="BU26">
        <v>0</v>
      </c>
      <c r="BV26">
        <v>1</v>
      </c>
      <c r="BW26">
        <v>1</v>
      </c>
      <c r="BY26">
        <v>69.092402464065714</v>
      </c>
      <c r="BZ26">
        <v>2103.0000000000005</v>
      </c>
      <c r="CA26">
        <v>0</v>
      </c>
      <c r="CC26">
        <v>69.092402464065714</v>
      </c>
      <c r="CD26">
        <v>2103.0000000000005</v>
      </c>
      <c r="CG26">
        <v>4</v>
      </c>
      <c r="CH26">
        <v>52.92</v>
      </c>
    </row>
    <row r="27" spans="3:86">
      <c r="C27">
        <v>37</v>
      </c>
      <c r="D27">
        <v>25</v>
      </c>
      <c r="E27">
        <v>9700</v>
      </c>
      <c r="H27" t="s">
        <v>121</v>
      </c>
      <c r="J27" s="202">
        <v>83.370294318959623</v>
      </c>
      <c r="K27">
        <v>1</v>
      </c>
      <c r="L27" t="s">
        <v>49</v>
      </c>
      <c r="M27" t="s">
        <v>122</v>
      </c>
      <c r="N27" t="s">
        <v>403</v>
      </c>
      <c r="O27">
        <v>0</v>
      </c>
      <c r="P27">
        <v>0</v>
      </c>
      <c r="Q27">
        <v>1</v>
      </c>
      <c r="R27">
        <v>0</v>
      </c>
      <c r="S27">
        <v>0</v>
      </c>
      <c r="T27" t="s">
        <v>39</v>
      </c>
      <c r="U27" t="s">
        <v>402</v>
      </c>
      <c r="V27">
        <v>1</v>
      </c>
      <c r="W27">
        <v>0</v>
      </c>
      <c r="X27">
        <v>0</v>
      </c>
      <c r="Y27">
        <v>0</v>
      </c>
      <c r="Z27">
        <v>0</v>
      </c>
      <c r="AA27">
        <v>0</v>
      </c>
      <c r="AD27">
        <v>94.98151950718686</v>
      </c>
      <c r="AE27">
        <v>0</v>
      </c>
      <c r="AF27">
        <v>0</v>
      </c>
      <c r="AG27" t="s">
        <v>389</v>
      </c>
      <c r="AH27">
        <v>1</v>
      </c>
      <c r="AI27" t="s">
        <v>327</v>
      </c>
      <c r="AK27">
        <v>5.7494866529774127</v>
      </c>
      <c r="AL27">
        <v>0</v>
      </c>
      <c r="AM27">
        <v>100.73100616016427</v>
      </c>
      <c r="AN27" s="202">
        <v>1</v>
      </c>
      <c r="AO27">
        <v>1</v>
      </c>
      <c r="AR27">
        <v>2.1428571428571428</v>
      </c>
      <c r="AS27">
        <v>12</v>
      </c>
      <c r="AT27">
        <v>4</v>
      </c>
      <c r="AU27">
        <v>48</v>
      </c>
      <c r="AV27">
        <v>1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1</v>
      </c>
      <c r="BD27" s="202">
        <v>0</v>
      </c>
      <c r="BH27" t="s">
        <v>537</v>
      </c>
      <c r="BJ27" s="202">
        <v>69.289527720739216</v>
      </c>
      <c r="BK27" s="202">
        <v>2109</v>
      </c>
      <c r="BL27">
        <v>0</v>
      </c>
      <c r="BO27">
        <v>67.154004106776185</v>
      </c>
      <c r="BP27">
        <v>2044</v>
      </c>
      <c r="BQ27">
        <v>0</v>
      </c>
      <c r="BS27">
        <v>67.154004106776185</v>
      </c>
      <c r="BT27">
        <v>2044</v>
      </c>
      <c r="BU27">
        <v>0</v>
      </c>
      <c r="BV27">
        <v>1</v>
      </c>
      <c r="BW27">
        <v>1</v>
      </c>
      <c r="BY27">
        <v>67.154004106776185</v>
      </c>
      <c r="BZ27">
        <v>2044</v>
      </c>
      <c r="CA27">
        <v>0</v>
      </c>
      <c r="CC27">
        <v>67.154004106776185</v>
      </c>
      <c r="CD27">
        <v>2044</v>
      </c>
      <c r="CE27" t="s">
        <v>38</v>
      </c>
      <c r="CF27" t="s">
        <v>38</v>
      </c>
      <c r="CG27">
        <v>2</v>
      </c>
      <c r="CH27">
        <v>19.61</v>
      </c>
    </row>
    <row r="28" spans="3:86">
      <c r="C28">
        <v>39</v>
      </c>
      <c r="D28">
        <v>26</v>
      </c>
      <c r="E28">
        <v>9700</v>
      </c>
      <c r="H28" t="s">
        <v>121</v>
      </c>
      <c r="J28" s="202">
        <v>60.703627652292951</v>
      </c>
      <c r="K28">
        <v>0</v>
      </c>
      <c r="L28" t="s">
        <v>49</v>
      </c>
      <c r="M28" t="s">
        <v>239</v>
      </c>
      <c r="N28" t="s">
        <v>107</v>
      </c>
      <c r="O28">
        <v>1</v>
      </c>
      <c r="P28">
        <v>0</v>
      </c>
      <c r="Q28">
        <v>0</v>
      </c>
      <c r="R28">
        <v>0</v>
      </c>
      <c r="S28">
        <v>0</v>
      </c>
      <c r="T28" t="s">
        <v>155</v>
      </c>
      <c r="U28" t="s">
        <v>402</v>
      </c>
      <c r="V28">
        <v>1</v>
      </c>
      <c r="W28">
        <v>0</v>
      </c>
      <c r="X28">
        <v>0</v>
      </c>
      <c r="Y28">
        <v>0</v>
      </c>
      <c r="Z28">
        <v>0</v>
      </c>
      <c r="AA28">
        <v>0</v>
      </c>
      <c r="AD28">
        <v>3.055441478439425</v>
      </c>
      <c r="AE28">
        <v>0</v>
      </c>
      <c r="AF28">
        <v>0</v>
      </c>
      <c r="AG28" t="s">
        <v>389</v>
      </c>
      <c r="AH28">
        <v>1</v>
      </c>
      <c r="AI28" t="s">
        <v>315</v>
      </c>
      <c r="AK28">
        <v>13.305954825462011</v>
      </c>
      <c r="AL28">
        <v>0</v>
      </c>
      <c r="AM28">
        <v>16.361396303901437</v>
      </c>
      <c r="AN28" s="202">
        <v>5</v>
      </c>
      <c r="AO28">
        <v>0</v>
      </c>
      <c r="AR28">
        <v>1.8571428571428572</v>
      </c>
      <c r="AS28">
        <v>10</v>
      </c>
      <c r="AT28">
        <v>5</v>
      </c>
      <c r="AU28">
        <v>50</v>
      </c>
      <c r="AV28">
        <v>0</v>
      </c>
      <c r="AW28">
        <v>0</v>
      </c>
      <c r="AX28">
        <v>1</v>
      </c>
      <c r="AY28">
        <v>0</v>
      </c>
      <c r="AZ28">
        <v>0</v>
      </c>
      <c r="BA28">
        <v>0</v>
      </c>
      <c r="BB28">
        <v>0</v>
      </c>
      <c r="BC28">
        <v>1</v>
      </c>
      <c r="BD28" s="202">
        <v>0</v>
      </c>
      <c r="BJ28" s="202">
        <v>51.482546201232033</v>
      </c>
      <c r="BK28" s="202">
        <v>1567</v>
      </c>
      <c r="BL28">
        <v>0</v>
      </c>
      <c r="BO28">
        <v>37.782340862422998</v>
      </c>
      <c r="BP28">
        <v>1150</v>
      </c>
      <c r="BQ28">
        <v>0</v>
      </c>
      <c r="BS28">
        <v>37.782340862422998</v>
      </c>
      <c r="BT28">
        <v>1150</v>
      </c>
      <c r="BU28">
        <v>0</v>
      </c>
      <c r="BV28">
        <v>1</v>
      </c>
      <c r="BW28">
        <v>1</v>
      </c>
      <c r="BY28">
        <v>37.782340862422998</v>
      </c>
      <c r="BZ28">
        <v>1150</v>
      </c>
      <c r="CA28">
        <v>0</v>
      </c>
      <c r="CC28">
        <v>37.782340862422998</v>
      </c>
      <c r="CD28">
        <v>1150</v>
      </c>
      <c r="CE28" t="s">
        <v>38</v>
      </c>
      <c r="CF28" t="s">
        <v>38</v>
      </c>
      <c r="CG28">
        <v>4</v>
      </c>
      <c r="CH28">
        <v>55.129999999999995</v>
      </c>
    </row>
    <row r="29" spans="3:86">
      <c r="C29">
        <v>42</v>
      </c>
      <c r="D29">
        <v>27</v>
      </c>
      <c r="E29">
        <v>9700</v>
      </c>
      <c r="H29" t="s">
        <v>121</v>
      </c>
      <c r="J29" s="202">
        <v>63.942505133470227</v>
      </c>
      <c r="K29">
        <v>0</v>
      </c>
      <c r="L29" t="s">
        <v>34</v>
      </c>
      <c r="M29" t="s">
        <v>127</v>
      </c>
      <c r="N29" t="s">
        <v>107</v>
      </c>
      <c r="O29">
        <v>1</v>
      </c>
      <c r="P29">
        <v>0</v>
      </c>
      <c r="Q29">
        <v>0</v>
      </c>
      <c r="R29">
        <v>0</v>
      </c>
      <c r="S29">
        <v>0</v>
      </c>
      <c r="T29" t="s">
        <v>155</v>
      </c>
      <c r="U29" t="s">
        <v>402</v>
      </c>
      <c r="V29">
        <v>1</v>
      </c>
      <c r="W29">
        <v>0</v>
      </c>
      <c r="X29">
        <v>0</v>
      </c>
      <c r="Y29">
        <v>0</v>
      </c>
      <c r="Z29">
        <v>0</v>
      </c>
      <c r="AA29">
        <v>0</v>
      </c>
      <c r="AD29">
        <v>0</v>
      </c>
      <c r="AE29">
        <v>0</v>
      </c>
      <c r="AF29">
        <v>0</v>
      </c>
      <c r="AG29" t="s">
        <v>389</v>
      </c>
      <c r="AH29">
        <v>1</v>
      </c>
      <c r="AI29" t="s">
        <v>315</v>
      </c>
      <c r="AK29">
        <v>2.299794661190965</v>
      </c>
      <c r="AL29">
        <v>0</v>
      </c>
      <c r="AM29">
        <v>2.299794661190965</v>
      </c>
      <c r="AN29" s="202">
        <v>2</v>
      </c>
      <c r="AO29">
        <v>0</v>
      </c>
      <c r="AR29">
        <v>1.8571428571428572</v>
      </c>
      <c r="AS29">
        <v>10</v>
      </c>
      <c r="AT29">
        <v>5</v>
      </c>
      <c r="AU29">
        <v>50</v>
      </c>
      <c r="AV29">
        <v>0</v>
      </c>
      <c r="AW29">
        <v>0</v>
      </c>
      <c r="AX29">
        <v>1</v>
      </c>
      <c r="AY29">
        <v>0</v>
      </c>
      <c r="AZ29">
        <v>0</v>
      </c>
      <c r="BA29">
        <v>0</v>
      </c>
      <c r="BB29">
        <v>0</v>
      </c>
      <c r="BC29">
        <v>1</v>
      </c>
      <c r="BD29" s="202">
        <v>0</v>
      </c>
      <c r="BJ29" s="202">
        <v>62.225872689938399</v>
      </c>
      <c r="BK29" s="202">
        <v>1894</v>
      </c>
      <c r="BL29">
        <v>1</v>
      </c>
      <c r="BN29">
        <v>19.942505133470227</v>
      </c>
      <c r="BO29">
        <v>21.256673511293634</v>
      </c>
      <c r="BP29">
        <v>647</v>
      </c>
      <c r="BQ29">
        <v>1</v>
      </c>
      <c r="BS29">
        <v>36.895277207392198</v>
      </c>
      <c r="BT29">
        <v>1123</v>
      </c>
      <c r="BU29">
        <v>1</v>
      </c>
      <c r="BV29">
        <v>0</v>
      </c>
      <c r="BW29">
        <v>0</v>
      </c>
      <c r="BX29">
        <v>36830</v>
      </c>
      <c r="BY29">
        <v>21.256673511293634</v>
      </c>
      <c r="BZ29">
        <v>647</v>
      </c>
      <c r="CA29">
        <v>1</v>
      </c>
      <c r="CC29">
        <v>36.895277207392198</v>
      </c>
      <c r="CD29">
        <v>1123</v>
      </c>
      <c r="CE29" t="s">
        <v>22</v>
      </c>
      <c r="CF29" t="s">
        <v>80</v>
      </c>
      <c r="CG29">
        <v>3</v>
      </c>
      <c r="CH29">
        <v>20.07</v>
      </c>
    </row>
    <row r="30" spans="3:86">
      <c r="C30">
        <v>50</v>
      </c>
      <c r="D30">
        <v>28</v>
      </c>
      <c r="E30">
        <v>9700</v>
      </c>
      <c r="H30" t="s">
        <v>121</v>
      </c>
      <c r="J30" s="202">
        <v>50.017796030116358</v>
      </c>
      <c r="K30">
        <v>1</v>
      </c>
      <c r="L30" t="s">
        <v>49</v>
      </c>
      <c r="M30" t="s">
        <v>52</v>
      </c>
      <c r="N30" t="s">
        <v>509</v>
      </c>
      <c r="O30">
        <v>0</v>
      </c>
      <c r="P30">
        <v>0</v>
      </c>
      <c r="Q30">
        <v>0</v>
      </c>
      <c r="R30">
        <v>0</v>
      </c>
      <c r="S30">
        <v>0</v>
      </c>
      <c r="T30" t="s">
        <v>155</v>
      </c>
      <c r="U30" t="s">
        <v>402</v>
      </c>
      <c r="V30">
        <v>1</v>
      </c>
      <c r="W30">
        <v>0</v>
      </c>
      <c r="X30">
        <v>0</v>
      </c>
      <c r="Y30">
        <v>0</v>
      </c>
      <c r="Z30">
        <v>0</v>
      </c>
      <c r="AA30">
        <v>0</v>
      </c>
      <c r="AD30">
        <v>54.472279260780283</v>
      </c>
      <c r="AE30">
        <v>1</v>
      </c>
      <c r="AF30">
        <v>0</v>
      </c>
      <c r="AG30" t="s">
        <v>390</v>
      </c>
      <c r="AH30">
        <v>1</v>
      </c>
      <c r="AI30" t="s">
        <v>327</v>
      </c>
      <c r="AK30">
        <v>58.973305954825463</v>
      </c>
      <c r="AL30">
        <v>23.983572895277206</v>
      </c>
      <c r="AM30">
        <v>137.42915811088295</v>
      </c>
      <c r="AN30" s="202">
        <v>2</v>
      </c>
      <c r="AO30">
        <v>0</v>
      </c>
      <c r="AR30">
        <v>2.1428571428571428</v>
      </c>
      <c r="AS30">
        <v>11</v>
      </c>
      <c r="AT30">
        <v>5</v>
      </c>
      <c r="AU30">
        <v>55</v>
      </c>
      <c r="AV30">
        <v>1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1</v>
      </c>
      <c r="BD30" s="202">
        <v>0</v>
      </c>
      <c r="BJ30" s="202">
        <v>58.579055441478438</v>
      </c>
      <c r="BK30" s="202">
        <v>1783</v>
      </c>
      <c r="BL30">
        <v>1</v>
      </c>
      <c r="BN30">
        <v>12.320328542094456</v>
      </c>
      <c r="BO30">
        <v>13.66735112936345</v>
      </c>
      <c r="BP30">
        <v>416</v>
      </c>
      <c r="BQ30">
        <v>0</v>
      </c>
      <c r="BS30">
        <v>46.488706365503084</v>
      </c>
      <c r="BT30">
        <v>1415</v>
      </c>
      <c r="BU30">
        <v>1</v>
      </c>
      <c r="BV30">
        <v>1</v>
      </c>
      <c r="BW30">
        <v>1</v>
      </c>
      <c r="BX30">
        <v>36710</v>
      </c>
      <c r="BY30">
        <v>13.66735112936345</v>
      </c>
      <c r="BZ30">
        <v>416</v>
      </c>
      <c r="CA30">
        <v>0</v>
      </c>
      <c r="CC30">
        <v>46.488706365503084</v>
      </c>
      <c r="CD30">
        <v>1415</v>
      </c>
      <c r="CE30" t="s">
        <v>22</v>
      </c>
      <c r="CF30" t="s">
        <v>100</v>
      </c>
      <c r="CG30">
        <v>1</v>
      </c>
      <c r="CH30">
        <v>7.3599999999999994</v>
      </c>
    </row>
    <row r="31" spans="3:86">
      <c r="C31">
        <v>56</v>
      </c>
      <c r="D31">
        <v>29</v>
      </c>
      <c r="E31">
        <v>9700</v>
      </c>
      <c r="H31" t="s">
        <v>121</v>
      </c>
      <c r="J31" s="202">
        <v>67.739904175222449</v>
      </c>
      <c r="K31">
        <v>0</v>
      </c>
      <c r="L31" t="s">
        <v>34</v>
      </c>
      <c r="M31" t="s">
        <v>64</v>
      </c>
      <c r="N31" t="s">
        <v>107</v>
      </c>
      <c r="O31">
        <v>1</v>
      </c>
      <c r="P31">
        <v>0</v>
      </c>
      <c r="Q31">
        <v>0</v>
      </c>
      <c r="R31">
        <v>0</v>
      </c>
      <c r="S31">
        <v>0</v>
      </c>
      <c r="T31" t="s">
        <v>155</v>
      </c>
      <c r="U31" t="s">
        <v>402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D31">
        <v>0.29568788501026694</v>
      </c>
      <c r="AE31">
        <v>1</v>
      </c>
      <c r="AF31">
        <v>0</v>
      </c>
      <c r="AG31" t="s">
        <v>389</v>
      </c>
      <c r="AH31">
        <v>1</v>
      </c>
      <c r="AI31" t="s">
        <v>315</v>
      </c>
      <c r="AK31">
        <v>0.82135523613963035</v>
      </c>
      <c r="AL31">
        <v>17.478439425051334</v>
      </c>
      <c r="AM31">
        <v>18.595482546201232</v>
      </c>
      <c r="AN31" s="202">
        <v>2</v>
      </c>
      <c r="AO31">
        <v>0</v>
      </c>
      <c r="AR31">
        <v>1.8571428571428572</v>
      </c>
      <c r="AS31">
        <v>10</v>
      </c>
      <c r="AT31">
        <v>4.5</v>
      </c>
      <c r="AU31">
        <v>45</v>
      </c>
      <c r="AV31">
        <v>0</v>
      </c>
      <c r="AW31">
        <v>0</v>
      </c>
      <c r="AX31">
        <v>1</v>
      </c>
      <c r="AY31">
        <v>0</v>
      </c>
      <c r="AZ31">
        <v>0</v>
      </c>
      <c r="BA31">
        <v>0</v>
      </c>
      <c r="BB31">
        <v>0</v>
      </c>
      <c r="BC31">
        <v>1</v>
      </c>
      <c r="BD31" s="202">
        <v>1</v>
      </c>
      <c r="BJ31" s="202">
        <v>44.386036960985628</v>
      </c>
      <c r="BK31" s="202">
        <v>1351</v>
      </c>
      <c r="BL31">
        <v>0</v>
      </c>
      <c r="BO31">
        <v>40.476386036960989</v>
      </c>
      <c r="BP31">
        <v>1232.0000000000002</v>
      </c>
      <c r="BQ31">
        <v>1</v>
      </c>
      <c r="BS31">
        <v>30.784394250513348</v>
      </c>
      <c r="BT31">
        <v>937</v>
      </c>
      <c r="BU31">
        <v>1</v>
      </c>
      <c r="BV31">
        <v>0</v>
      </c>
      <c r="BW31">
        <v>0</v>
      </c>
      <c r="BX31">
        <v>37330</v>
      </c>
      <c r="BY31">
        <v>30.784394250513348</v>
      </c>
      <c r="BZ31">
        <v>937</v>
      </c>
      <c r="CA31">
        <v>1</v>
      </c>
      <c r="CC31">
        <v>30.784394250513348</v>
      </c>
      <c r="CD31">
        <v>937</v>
      </c>
      <c r="CE31" t="s">
        <v>38</v>
      </c>
      <c r="CF31" t="s">
        <v>38</v>
      </c>
      <c r="CG31">
        <v>3</v>
      </c>
      <c r="CH31">
        <v>40.200000000000003</v>
      </c>
    </row>
    <row r="32" spans="3:86">
      <c r="C32">
        <v>58</v>
      </c>
      <c r="D32">
        <v>30</v>
      </c>
      <c r="E32">
        <v>9700</v>
      </c>
      <c r="H32" t="s">
        <v>121</v>
      </c>
      <c r="J32" s="202">
        <v>54.097193702943187</v>
      </c>
      <c r="K32">
        <v>1</v>
      </c>
      <c r="L32" t="s">
        <v>49</v>
      </c>
      <c r="M32" t="s">
        <v>122</v>
      </c>
      <c r="N32" t="s">
        <v>403</v>
      </c>
      <c r="O32">
        <v>0</v>
      </c>
      <c r="P32">
        <v>0</v>
      </c>
      <c r="Q32">
        <v>1</v>
      </c>
      <c r="R32">
        <v>0</v>
      </c>
      <c r="S32">
        <v>0</v>
      </c>
      <c r="T32" t="s">
        <v>244</v>
      </c>
      <c r="U32" t="s">
        <v>402</v>
      </c>
      <c r="V32">
        <v>1</v>
      </c>
      <c r="W32">
        <v>0</v>
      </c>
      <c r="X32">
        <v>0</v>
      </c>
      <c r="Y32">
        <v>0</v>
      </c>
      <c r="Z32">
        <v>0</v>
      </c>
      <c r="AA32">
        <v>0</v>
      </c>
      <c r="AD32">
        <v>67.186858316221759</v>
      </c>
      <c r="AE32">
        <v>0</v>
      </c>
      <c r="AF32">
        <v>1</v>
      </c>
      <c r="AG32" t="s">
        <v>387</v>
      </c>
      <c r="AH32">
        <v>1</v>
      </c>
      <c r="AI32" t="s">
        <v>315</v>
      </c>
      <c r="AK32">
        <v>15.835728952772074</v>
      </c>
      <c r="AL32">
        <v>0</v>
      </c>
      <c r="AM32">
        <v>83.022587268993846</v>
      </c>
      <c r="AN32" s="202">
        <v>5</v>
      </c>
      <c r="AO32">
        <v>0</v>
      </c>
      <c r="AR32">
        <v>2</v>
      </c>
      <c r="AS32">
        <v>10</v>
      </c>
      <c r="AT32">
        <v>5</v>
      </c>
      <c r="AU32">
        <v>50</v>
      </c>
      <c r="AV32">
        <v>0</v>
      </c>
      <c r="AW32">
        <v>0</v>
      </c>
      <c r="AX32">
        <v>1</v>
      </c>
      <c r="AY32">
        <v>0</v>
      </c>
      <c r="AZ32">
        <v>0</v>
      </c>
      <c r="BA32">
        <v>0</v>
      </c>
      <c r="BB32">
        <v>0</v>
      </c>
      <c r="BC32">
        <v>1</v>
      </c>
      <c r="BD32" s="202">
        <v>0</v>
      </c>
      <c r="BH32" t="s">
        <v>537</v>
      </c>
      <c r="BJ32" s="202">
        <v>58.973305954825463</v>
      </c>
      <c r="BK32" s="202">
        <v>1795</v>
      </c>
      <c r="BL32">
        <v>0</v>
      </c>
      <c r="BO32">
        <v>56.410677618069819</v>
      </c>
      <c r="BP32">
        <v>1717</v>
      </c>
      <c r="BQ32">
        <v>1</v>
      </c>
      <c r="BS32">
        <v>8.9691991786447645</v>
      </c>
      <c r="BT32">
        <v>273</v>
      </c>
      <c r="BU32">
        <v>1</v>
      </c>
      <c r="BV32">
        <v>0</v>
      </c>
      <c r="BW32">
        <v>0</v>
      </c>
      <c r="BX32">
        <v>36677</v>
      </c>
      <c r="BY32">
        <v>8.9691991786447645</v>
      </c>
      <c r="BZ32">
        <v>273</v>
      </c>
      <c r="CA32">
        <v>1</v>
      </c>
      <c r="CC32">
        <v>8.9691991786447645</v>
      </c>
      <c r="CD32">
        <v>273</v>
      </c>
      <c r="CE32" t="s">
        <v>409</v>
      </c>
      <c r="CF32" t="s">
        <v>410</v>
      </c>
      <c r="CG32">
        <v>2</v>
      </c>
      <c r="CH32">
        <v>16.7</v>
      </c>
    </row>
    <row r="33" spans="3:86">
      <c r="C33">
        <v>62</v>
      </c>
      <c r="D33">
        <v>31</v>
      </c>
      <c r="E33">
        <v>9700</v>
      </c>
      <c r="H33" t="s">
        <v>121</v>
      </c>
      <c r="J33" s="202">
        <v>43.665982203969882</v>
      </c>
      <c r="K33">
        <v>1</v>
      </c>
      <c r="L33" t="s">
        <v>49</v>
      </c>
      <c r="M33" t="s">
        <v>122</v>
      </c>
      <c r="N33" t="s">
        <v>403</v>
      </c>
      <c r="O33">
        <v>0</v>
      </c>
      <c r="P33">
        <v>0</v>
      </c>
      <c r="Q33">
        <v>1</v>
      </c>
      <c r="R33">
        <v>0</v>
      </c>
      <c r="S33">
        <v>0</v>
      </c>
      <c r="T33" t="s">
        <v>39</v>
      </c>
      <c r="U33" t="s">
        <v>402</v>
      </c>
      <c r="V33">
        <v>1</v>
      </c>
      <c r="W33">
        <v>0</v>
      </c>
      <c r="X33">
        <v>0</v>
      </c>
      <c r="Y33">
        <v>0</v>
      </c>
      <c r="Z33">
        <v>0</v>
      </c>
      <c r="AA33">
        <v>0</v>
      </c>
      <c r="AD33">
        <v>47.93429158110883</v>
      </c>
      <c r="AE33">
        <v>0</v>
      </c>
      <c r="AF33">
        <v>1</v>
      </c>
      <c r="AG33" t="s">
        <v>390</v>
      </c>
      <c r="AH33">
        <v>1</v>
      </c>
      <c r="AI33" t="s">
        <v>270</v>
      </c>
      <c r="AK33">
        <v>7.3921971252566738</v>
      </c>
      <c r="AL33">
        <v>0</v>
      </c>
      <c r="AM33">
        <v>55.326488706365502</v>
      </c>
      <c r="AN33" s="202">
        <v>5</v>
      </c>
      <c r="AO33">
        <v>0</v>
      </c>
      <c r="AR33">
        <v>1.5714285714285714</v>
      </c>
      <c r="AS33">
        <v>10</v>
      </c>
      <c r="AT33">
        <v>5</v>
      </c>
      <c r="AU33">
        <v>50</v>
      </c>
      <c r="AV33">
        <v>0</v>
      </c>
      <c r="AW33">
        <v>0</v>
      </c>
      <c r="AX33">
        <v>1</v>
      </c>
      <c r="AY33">
        <v>0</v>
      </c>
      <c r="AZ33">
        <v>0</v>
      </c>
      <c r="BA33">
        <v>0</v>
      </c>
      <c r="BB33">
        <v>0</v>
      </c>
      <c r="BC33">
        <v>1</v>
      </c>
      <c r="BD33" s="202">
        <v>0</v>
      </c>
      <c r="BH33" t="s">
        <v>537</v>
      </c>
      <c r="BJ33" s="202">
        <v>57.724845995893219</v>
      </c>
      <c r="BK33" s="202">
        <v>1756.9999999999998</v>
      </c>
      <c r="BL33">
        <v>0</v>
      </c>
      <c r="BO33">
        <v>53.716632443531836</v>
      </c>
      <c r="BP33">
        <v>1635.0000000000002</v>
      </c>
      <c r="BQ33">
        <v>0</v>
      </c>
      <c r="BS33">
        <v>53.716632443531836</v>
      </c>
      <c r="BT33">
        <v>1635.0000000000002</v>
      </c>
      <c r="BU33">
        <v>0</v>
      </c>
      <c r="BV33">
        <v>1</v>
      </c>
      <c r="BW33">
        <v>1</v>
      </c>
      <c r="BY33">
        <v>53.716632443531836</v>
      </c>
      <c r="BZ33">
        <v>1635.0000000000002</v>
      </c>
      <c r="CA33">
        <v>0</v>
      </c>
      <c r="CC33">
        <v>53.716632443531836</v>
      </c>
      <c r="CD33">
        <v>1635.0000000000002</v>
      </c>
      <c r="CG33">
        <v>2</v>
      </c>
      <c r="CH33">
        <v>19.250000000000004</v>
      </c>
    </row>
    <row r="34" spans="3:86">
      <c r="C34">
        <v>67</v>
      </c>
      <c r="D34">
        <v>32</v>
      </c>
      <c r="E34">
        <v>9700</v>
      </c>
      <c r="H34" t="s">
        <v>121</v>
      </c>
      <c r="J34" s="202">
        <v>39.482546201232033</v>
      </c>
      <c r="K34">
        <v>1</v>
      </c>
      <c r="L34" t="s">
        <v>49</v>
      </c>
      <c r="M34" t="s">
        <v>122</v>
      </c>
      <c r="N34" t="s">
        <v>403</v>
      </c>
      <c r="O34">
        <v>0</v>
      </c>
      <c r="P34">
        <v>0</v>
      </c>
      <c r="Q34">
        <v>1</v>
      </c>
      <c r="R34">
        <v>0</v>
      </c>
      <c r="S34">
        <v>0</v>
      </c>
      <c r="T34" t="s">
        <v>39</v>
      </c>
      <c r="U34" t="s">
        <v>402</v>
      </c>
      <c r="V34">
        <v>1</v>
      </c>
      <c r="W34">
        <v>0</v>
      </c>
      <c r="X34">
        <v>0</v>
      </c>
      <c r="Y34">
        <v>0</v>
      </c>
      <c r="Z34">
        <v>0</v>
      </c>
      <c r="AA34">
        <v>0</v>
      </c>
      <c r="AD34">
        <v>0</v>
      </c>
      <c r="AE34">
        <v>0</v>
      </c>
      <c r="AF34">
        <v>1</v>
      </c>
      <c r="AG34" t="s">
        <v>389</v>
      </c>
      <c r="AH34">
        <v>1</v>
      </c>
      <c r="AI34" t="s">
        <v>254</v>
      </c>
      <c r="AK34">
        <v>45.798767967145793</v>
      </c>
      <c r="AL34">
        <v>0</v>
      </c>
      <c r="AM34">
        <v>45.798767967145793</v>
      </c>
      <c r="AN34" s="202">
        <v>3</v>
      </c>
      <c r="AO34">
        <v>0</v>
      </c>
      <c r="AR34">
        <v>0.5714285714285714</v>
      </c>
      <c r="AS34">
        <v>10</v>
      </c>
      <c r="AT34">
        <v>5</v>
      </c>
      <c r="AU34">
        <v>50</v>
      </c>
      <c r="AV34">
        <v>0</v>
      </c>
      <c r="AW34">
        <v>0</v>
      </c>
      <c r="AX34">
        <v>1</v>
      </c>
      <c r="AY34">
        <v>0</v>
      </c>
      <c r="AZ34">
        <v>0</v>
      </c>
      <c r="BA34">
        <v>0</v>
      </c>
      <c r="BB34">
        <v>0</v>
      </c>
      <c r="BC34">
        <v>1</v>
      </c>
      <c r="BD34" s="202">
        <v>0</v>
      </c>
      <c r="BH34" t="s">
        <v>537</v>
      </c>
      <c r="BJ34" s="202">
        <v>56.180698151950715</v>
      </c>
      <c r="BK34" s="202">
        <v>1710</v>
      </c>
      <c r="BL34">
        <v>0</v>
      </c>
      <c r="BO34">
        <v>54.997946611909654</v>
      </c>
      <c r="BP34">
        <v>1674</v>
      </c>
      <c r="BQ34">
        <v>1</v>
      </c>
      <c r="BS34">
        <v>7.3264887063655033</v>
      </c>
      <c r="BT34">
        <v>223</v>
      </c>
      <c r="BU34">
        <v>1</v>
      </c>
      <c r="BV34">
        <v>0</v>
      </c>
      <c r="BW34">
        <v>0</v>
      </c>
      <c r="BX34">
        <v>36712</v>
      </c>
      <c r="BY34">
        <v>7.3264887063655033</v>
      </c>
      <c r="BZ34">
        <v>223</v>
      </c>
      <c r="CA34">
        <v>1</v>
      </c>
      <c r="CC34">
        <v>7.3264887063655033</v>
      </c>
      <c r="CD34">
        <v>223</v>
      </c>
      <c r="CE34" t="s">
        <v>38</v>
      </c>
      <c r="CF34" t="s">
        <v>38</v>
      </c>
      <c r="CG34">
        <v>1</v>
      </c>
      <c r="CH34">
        <v>6.8500000000000005</v>
      </c>
    </row>
    <row r="35" spans="3:86">
      <c r="C35">
        <v>70</v>
      </c>
      <c r="D35">
        <v>33</v>
      </c>
      <c r="E35">
        <v>9700</v>
      </c>
      <c r="H35" t="s">
        <v>121</v>
      </c>
      <c r="J35" s="202">
        <v>72.898015058179325</v>
      </c>
      <c r="K35">
        <v>1</v>
      </c>
      <c r="L35" t="s">
        <v>49</v>
      </c>
      <c r="M35" t="s">
        <v>122</v>
      </c>
      <c r="N35" t="s">
        <v>403</v>
      </c>
      <c r="O35">
        <v>0</v>
      </c>
      <c r="P35">
        <v>0</v>
      </c>
      <c r="Q35">
        <v>1</v>
      </c>
      <c r="R35">
        <v>0</v>
      </c>
      <c r="S35">
        <v>0</v>
      </c>
      <c r="T35" t="s">
        <v>39</v>
      </c>
      <c r="U35" t="s">
        <v>402</v>
      </c>
      <c r="V35">
        <v>1</v>
      </c>
      <c r="W35">
        <v>0</v>
      </c>
      <c r="X35">
        <v>0</v>
      </c>
      <c r="Y35">
        <v>0</v>
      </c>
      <c r="Z35">
        <v>0</v>
      </c>
      <c r="AA35">
        <v>0</v>
      </c>
      <c r="AD35">
        <v>16.95277207392197</v>
      </c>
      <c r="AE35">
        <v>1</v>
      </c>
      <c r="AF35">
        <v>0</v>
      </c>
      <c r="AG35" t="s">
        <v>387</v>
      </c>
      <c r="AH35">
        <v>1</v>
      </c>
      <c r="AI35" t="s">
        <v>315</v>
      </c>
      <c r="AK35">
        <v>1.0184804928131417</v>
      </c>
      <c r="AL35">
        <v>55.030800821355236</v>
      </c>
      <c r="AM35">
        <v>73.002053388090346</v>
      </c>
      <c r="AN35" s="202">
        <v>2</v>
      </c>
      <c r="AO35">
        <v>0</v>
      </c>
      <c r="AR35">
        <v>1.2857142857142858</v>
      </c>
      <c r="AS35">
        <v>10</v>
      </c>
      <c r="AT35">
        <v>3.5</v>
      </c>
      <c r="AU35">
        <v>35</v>
      </c>
      <c r="AV35">
        <v>0</v>
      </c>
      <c r="AW35">
        <v>0</v>
      </c>
      <c r="AX35">
        <v>1</v>
      </c>
      <c r="AY35">
        <v>0</v>
      </c>
      <c r="AZ35">
        <v>0</v>
      </c>
      <c r="BA35">
        <v>0</v>
      </c>
      <c r="BB35">
        <v>1</v>
      </c>
      <c r="BC35">
        <v>2</v>
      </c>
      <c r="BD35" s="202">
        <v>0</v>
      </c>
      <c r="BH35" t="s">
        <v>537</v>
      </c>
      <c r="BJ35" s="202">
        <v>55.983572895277206</v>
      </c>
      <c r="BK35" s="202">
        <v>1704</v>
      </c>
      <c r="BL35">
        <v>0</v>
      </c>
      <c r="BO35">
        <v>39.885010266940448</v>
      </c>
      <c r="BP35">
        <v>1213.9999999999998</v>
      </c>
      <c r="BQ35">
        <v>1</v>
      </c>
      <c r="BS35">
        <v>13.010266940451745</v>
      </c>
      <c r="BT35">
        <v>396</v>
      </c>
      <c r="BU35">
        <v>1</v>
      </c>
      <c r="BV35">
        <v>0</v>
      </c>
      <c r="BW35">
        <v>0</v>
      </c>
      <c r="BX35">
        <v>36891</v>
      </c>
      <c r="BY35">
        <v>13.010266940451745</v>
      </c>
      <c r="BZ35">
        <v>396</v>
      </c>
      <c r="CA35">
        <v>1</v>
      </c>
      <c r="CC35">
        <v>13.010266940451745</v>
      </c>
      <c r="CD35">
        <v>396</v>
      </c>
      <c r="CE35" t="s">
        <v>38</v>
      </c>
      <c r="CF35" t="s">
        <v>38</v>
      </c>
      <c r="CG35">
        <v>5</v>
      </c>
      <c r="CH35">
        <v>402.49</v>
      </c>
    </row>
    <row r="36" spans="3:86">
      <c r="C36">
        <v>76</v>
      </c>
      <c r="D36">
        <v>34</v>
      </c>
      <c r="E36">
        <v>9700</v>
      </c>
      <c r="H36" t="s">
        <v>50</v>
      </c>
      <c r="J36" s="202">
        <v>78.431211498973312</v>
      </c>
      <c r="K36">
        <v>1</v>
      </c>
      <c r="L36" t="s">
        <v>51</v>
      </c>
      <c r="M36" t="s">
        <v>327</v>
      </c>
      <c r="N36" t="s">
        <v>510</v>
      </c>
      <c r="O36">
        <v>0</v>
      </c>
      <c r="P36">
        <v>1</v>
      </c>
      <c r="Q36">
        <v>0</v>
      </c>
      <c r="R36">
        <v>0</v>
      </c>
      <c r="S36">
        <v>0</v>
      </c>
      <c r="T36" t="s">
        <v>155</v>
      </c>
      <c r="U36" t="s">
        <v>402</v>
      </c>
      <c r="V36">
        <v>1</v>
      </c>
      <c r="W36">
        <v>0</v>
      </c>
      <c r="X36">
        <v>0</v>
      </c>
      <c r="Y36">
        <v>0</v>
      </c>
      <c r="Z36">
        <v>0</v>
      </c>
      <c r="AA36">
        <v>0</v>
      </c>
      <c r="AD36">
        <v>26.250513347022586</v>
      </c>
      <c r="AE36">
        <v>1</v>
      </c>
      <c r="AF36">
        <v>0</v>
      </c>
      <c r="AG36" t="s">
        <v>387</v>
      </c>
      <c r="AH36">
        <v>1</v>
      </c>
      <c r="AI36" t="s">
        <v>315</v>
      </c>
      <c r="AK36">
        <v>2.1026694045174539</v>
      </c>
      <c r="AL36">
        <v>24.476386036960985</v>
      </c>
      <c r="AM36">
        <v>52.829568788501028</v>
      </c>
      <c r="AN36" s="202">
        <v>1</v>
      </c>
      <c r="AO36">
        <v>1</v>
      </c>
      <c r="AR36">
        <v>2.1428571428571428</v>
      </c>
      <c r="AS36">
        <v>10</v>
      </c>
      <c r="AT36">
        <v>5</v>
      </c>
      <c r="AU36">
        <v>50</v>
      </c>
      <c r="AV36">
        <v>0</v>
      </c>
      <c r="AW36">
        <v>0</v>
      </c>
      <c r="AX36">
        <v>1</v>
      </c>
      <c r="AY36">
        <v>0</v>
      </c>
      <c r="AZ36">
        <v>0</v>
      </c>
      <c r="BA36">
        <v>0</v>
      </c>
      <c r="BB36">
        <v>0</v>
      </c>
      <c r="BC36">
        <v>1</v>
      </c>
      <c r="BD36" s="202">
        <v>0</v>
      </c>
      <c r="BJ36" s="202">
        <v>49.905544147843941</v>
      </c>
      <c r="BK36" s="202">
        <v>1519</v>
      </c>
      <c r="BL36">
        <v>0</v>
      </c>
      <c r="BO36">
        <v>37.486652977412732</v>
      </c>
      <c r="BP36">
        <v>1141</v>
      </c>
      <c r="BQ36">
        <v>1</v>
      </c>
      <c r="BS36">
        <v>16.558521560574949</v>
      </c>
      <c r="BT36">
        <v>504</v>
      </c>
      <c r="BU36">
        <v>1</v>
      </c>
      <c r="BV36">
        <v>0</v>
      </c>
      <c r="BW36">
        <v>0</v>
      </c>
      <c r="BX36">
        <v>37062</v>
      </c>
      <c r="BY36">
        <v>16.558521560574949</v>
      </c>
      <c r="BZ36">
        <v>504</v>
      </c>
      <c r="CA36">
        <v>1</v>
      </c>
      <c r="CC36">
        <v>16.558521560574949</v>
      </c>
      <c r="CD36">
        <v>504</v>
      </c>
      <c r="CE36" t="s">
        <v>38</v>
      </c>
      <c r="CF36" t="s">
        <v>38</v>
      </c>
      <c r="CG36">
        <v>1</v>
      </c>
      <c r="CH36">
        <v>0.3</v>
      </c>
    </row>
    <row r="37" spans="3:86">
      <c r="C37">
        <v>79</v>
      </c>
      <c r="D37">
        <v>35</v>
      </c>
      <c r="E37">
        <v>9700</v>
      </c>
      <c r="H37" t="s">
        <v>121</v>
      </c>
      <c r="J37" s="202">
        <v>69.760438056125935</v>
      </c>
      <c r="K37">
        <v>1</v>
      </c>
      <c r="L37" t="s">
        <v>49</v>
      </c>
      <c r="M37" t="s">
        <v>122</v>
      </c>
      <c r="N37" t="s">
        <v>403</v>
      </c>
      <c r="O37">
        <v>0</v>
      </c>
      <c r="P37">
        <v>0</v>
      </c>
      <c r="Q37">
        <v>1</v>
      </c>
      <c r="R37">
        <v>0</v>
      </c>
      <c r="S37">
        <v>0</v>
      </c>
      <c r="T37" t="s">
        <v>155</v>
      </c>
      <c r="U37" t="s">
        <v>402</v>
      </c>
      <c r="V37">
        <v>1</v>
      </c>
      <c r="W37">
        <v>0</v>
      </c>
      <c r="X37">
        <v>0</v>
      </c>
      <c r="Y37">
        <v>0</v>
      </c>
      <c r="Z37">
        <v>0</v>
      </c>
      <c r="AA37">
        <v>0</v>
      </c>
      <c r="AD37">
        <v>54.012320328542096</v>
      </c>
      <c r="AE37">
        <v>1</v>
      </c>
      <c r="AF37">
        <v>0</v>
      </c>
      <c r="AG37" t="s">
        <v>387</v>
      </c>
      <c r="AH37">
        <v>1</v>
      </c>
      <c r="AI37" t="s">
        <v>270</v>
      </c>
      <c r="AK37">
        <v>1.675564681724846</v>
      </c>
      <c r="AL37">
        <v>0</v>
      </c>
      <c r="AM37">
        <v>55.687885010266939</v>
      </c>
      <c r="AN37" s="202">
        <v>1</v>
      </c>
      <c r="AO37">
        <v>1</v>
      </c>
      <c r="AR37">
        <v>1.5714285714285714</v>
      </c>
      <c r="AS37">
        <v>10</v>
      </c>
      <c r="AT37">
        <v>5</v>
      </c>
      <c r="AU37">
        <v>50</v>
      </c>
      <c r="AV37">
        <v>0</v>
      </c>
      <c r="AW37">
        <v>0</v>
      </c>
      <c r="AX37">
        <v>1</v>
      </c>
      <c r="AY37">
        <v>0</v>
      </c>
      <c r="AZ37">
        <v>0</v>
      </c>
      <c r="BA37">
        <v>0</v>
      </c>
      <c r="BB37">
        <v>0</v>
      </c>
      <c r="BC37">
        <v>1</v>
      </c>
      <c r="BD37" s="202">
        <v>0</v>
      </c>
      <c r="BH37" t="s">
        <v>537</v>
      </c>
      <c r="BJ37" s="202">
        <v>53.880903490759756</v>
      </c>
      <c r="BK37" s="202">
        <v>1640</v>
      </c>
      <c r="BL37">
        <v>0</v>
      </c>
      <c r="BO37">
        <v>50.98973305954825</v>
      </c>
      <c r="BP37">
        <v>1552</v>
      </c>
      <c r="BQ37">
        <v>0</v>
      </c>
      <c r="BS37">
        <v>50.98973305954825</v>
      </c>
      <c r="BT37">
        <v>1552</v>
      </c>
      <c r="BU37">
        <v>0</v>
      </c>
      <c r="BV37">
        <v>1</v>
      </c>
      <c r="BW37">
        <v>1</v>
      </c>
      <c r="BY37">
        <v>50.98973305954825</v>
      </c>
      <c r="BZ37">
        <v>1552</v>
      </c>
      <c r="CA37">
        <v>0</v>
      </c>
      <c r="CC37">
        <v>50.98973305954825</v>
      </c>
      <c r="CD37">
        <v>1552</v>
      </c>
      <c r="CE37" t="s">
        <v>38</v>
      </c>
      <c r="CF37" t="s">
        <v>38</v>
      </c>
      <c r="CG37">
        <v>5</v>
      </c>
      <c r="CH37">
        <v>120</v>
      </c>
    </row>
    <row r="38" spans="3:86">
      <c r="C38">
        <v>86</v>
      </c>
      <c r="D38">
        <v>36</v>
      </c>
      <c r="E38">
        <v>9700</v>
      </c>
      <c r="H38" t="s">
        <v>121</v>
      </c>
      <c r="J38" s="202">
        <v>59.496235455167692</v>
      </c>
      <c r="K38">
        <v>1</v>
      </c>
      <c r="L38" t="s">
        <v>49</v>
      </c>
      <c r="M38" t="s">
        <v>127</v>
      </c>
      <c r="N38" t="s">
        <v>107</v>
      </c>
      <c r="O38">
        <v>1</v>
      </c>
      <c r="P38">
        <v>0</v>
      </c>
      <c r="Q38">
        <v>0</v>
      </c>
      <c r="R38">
        <v>0</v>
      </c>
      <c r="S38">
        <v>0</v>
      </c>
      <c r="T38" t="s">
        <v>155</v>
      </c>
      <c r="U38" t="s">
        <v>402</v>
      </c>
      <c r="V38">
        <v>1</v>
      </c>
      <c r="W38">
        <v>0</v>
      </c>
      <c r="X38">
        <v>0</v>
      </c>
      <c r="Y38">
        <v>0</v>
      </c>
      <c r="Z38">
        <v>0</v>
      </c>
      <c r="AA38">
        <v>0</v>
      </c>
      <c r="AD38">
        <v>34.201232032854207</v>
      </c>
      <c r="AE38">
        <v>0</v>
      </c>
      <c r="AF38">
        <v>0</v>
      </c>
      <c r="AG38" t="s">
        <v>387</v>
      </c>
      <c r="AH38">
        <v>1</v>
      </c>
      <c r="AI38" t="s">
        <v>315</v>
      </c>
      <c r="AK38">
        <v>3.4496919917864477</v>
      </c>
      <c r="AL38">
        <v>0</v>
      </c>
      <c r="AM38">
        <v>37.650924024640659</v>
      </c>
      <c r="AN38" s="202">
        <v>3</v>
      </c>
      <c r="AO38">
        <v>0</v>
      </c>
      <c r="AR38">
        <v>1.8571428571428572</v>
      </c>
      <c r="AS38">
        <v>10</v>
      </c>
      <c r="AT38">
        <v>5</v>
      </c>
      <c r="AU38">
        <v>50</v>
      </c>
      <c r="AV38">
        <v>0</v>
      </c>
      <c r="AW38">
        <v>0</v>
      </c>
      <c r="AX38">
        <v>1</v>
      </c>
      <c r="AY38">
        <v>0</v>
      </c>
      <c r="AZ38">
        <v>0</v>
      </c>
      <c r="BA38">
        <v>0</v>
      </c>
      <c r="BB38">
        <v>0</v>
      </c>
      <c r="BC38">
        <v>1</v>
      </c>
      <c r="BD38" s="202">
        <v>0</v>
      </c>
      <c r="BJ38" s="202">
        <v>48.558521560574953</v>
      </c>
      <c r="BK38" s="202">
        <v>1478</v>
      </c>
      <c r="BL38">
        <v>0</v>
      </c>
      <c r="BO38">
        <v>43.3347022587269</v>
      </c>
      <c r="BP38">
        <v>1319</v>
      </c>
      <c r="BQ38">
        <v>0</v>
      </c>
      <c r="BS38">
        <v>43.3347022587269</v>
      </c>
      <c r="BT38">
        <v>1319</v>
      </c>
      <c r="BU38">
        <v>0</v>
      </c>
      <c r="BV38">
        <v>1</v>
      </c>
      <c r="BW38">
        <v>1</v>
      </c>
      <c r="BY38">
        <v>43.3347022587269</v>
      </c>
      <c r="BZ38">
        <v>1319</v>
      </c>
      <c r="CA38">
        <v>0</v>
      </c>
      <c r="CC38">
        <v>43.3347022587269</v>
      </c>
      <c r="CD38">
        <v>1319</v>
      </c>
      <c r="CE38" t="s">
        <v>38</v>
      </c>
      <c r="CF38" t="s">
        <v>38</v>
      </c>
      <c r="CG38">
        <v>2</v>
      </c>
      <c r="CH38">
        <v>13.25</v>
      </c>
    </row>
    <row r="39" spans="3:86">
      <c r="C39">
        <v>101</v>
      </c>
      <c r="D39">
        <v>37</v>
      </c>
      <c r="E39">
        <v>9700</v>
      </c>
      <c r="H39" t="s">
        <v>121</v>
      </c>
      <c r="J39" s="202">
        <v>49.169062286105408</v>
      </c>
      <c r="K39">
        <v>0</v>
      </c>
      <c r="L39" t="s">
        <v>49</v>
      </c>
      <c r="M39" t="s">
        <v>315</v>
      </c>
      <c r="N39" t="s">
        <v>509</v>
      </c>
      <c r="O39">
        <v>0</v>
      </c>
      <c r="P39">
        <v>0</v>
      </c>
      <c r="Q39">
        <v>0</v>
      </c>
      <c r="R39">
        <v>0</v>
      </c>
      <c r="S39">
        <v>0</v>
      </c>
      <c r="T39" t="s">
        <v>12</v>
      </c>
      <c r="U39" t="s">
        <v>508</v>
      </c>
      <c r="V39">
        <v>0</v>
      </c>
      <c r="W39">
        <v>0</v>
      </c>
      <c r="X39">
        <v>0</v>
      </c>
      <c r="Y39">
        <v>1</v>
      </c>
      <c r="Z39">
        <v>0</v>
      </c>
      <c r="AA39">
        <v>0</v>
      </c>
      <c r="AD39">
        <v>0</v>
      </c>
      <c r="AE39">
        <v>0</v>
      </c>
      <c r="AF39">
        <v>0</v>
      </c>
      <c r="AG39" t="s">
        <v>389</v>
      </c>
      <c r="AH39">
        <v>1</v>
      </c>
      <c r="AI39" t="s">
        <v>315</v>
      </c>
      <c r="AK39">
        <v>1.9383983572895278</v>
      </c>
      <c r="AL39">
        <v>0</v>
      </c>
      <c r="AM39">
        <v>1.9383983572895278</v>
      </c>
      <c r="AN39" s="202">
        <v>3</v>
      </c>
      <c r="AO39">
        <v>0</v>
      </c>
      <c r="AR39">
        <v>1.8571428571428572</v>
      </c>
      <c r="AS39">
        <v>10</v>
      </c>
      <c r="AT39">
        <v>4.5</v>
      </c>
      <c r="AU39">
        <v>45</v>
      </c>
      <c r="AV39">
        <v>0</v>
      </c>
      <c r="AW39">
        <v>0</v>
      </c>
      <c r="AX39">
        <v>1</v>
      </c>
      <c r="AY39">
        <v>0</v>
      </c>
      <c r="AZ39">
        <v>0</v>
      </c>
      <c r="BA39">
        <v>0</v>
      </c>
      <c r="BB39">
        <v>0</v>
      </c>
      <c r="BC39">
        <v>1</v>
      </c>
      <c r="BD39" s="202">
        <v>0</v>
      </c>
      <c r="BJ39" s="202">
        <v>44.188911704312112</v>
      </c>
      <c r="BK39" s="202">
        <v>1344.9999999999998</v>
      </c>
      <c r="BL39">
        <v>0</v>
      </c>
      <c r="BO39">
        <v>32.098562628336758</v>
      </c>
      <c r="BP39">
        <v>977</v>
      </c>
      <c r="BQ39">
        <v>0</v>
      </c>
      <c r="BS39">
        <v>32.098562628336758</v>
      </c>
      <c r="BT39">
        <v>977</v>
      </c>
      <c r="BU39">
        <v>0</v>
      </c>
      <c r="BV39">
        <v>1</v>
      </c>
      <c r="BW39">
        <v>1</v>
      </c>
      <c r="BY39">
        <v>32.098562628336758</v>
      </c>
      <c r="BZ39">
        <v>977</v>
      </c>
      <c r="CA39">
        <v>0</v>
      </c>
      <c r="CC39">
        <v>32.098562628336758</v>
      </c>
      <c r="CD39">
        <v>977</v>
      </c>
      <c r="CE39" t="s">
        <v>38</v>
      </c>
      <c r="CF39" t="s">
        <v>38</v>
      </c>
      <c r="CG39">
        <v>5</v>
      </c>
      <c r="CH39">
        <v>169.85999999999999</v>
      </c>
    </row>
    <row r="40" spans="3:86">
      <c r="C40">
        <v>103</v>
      </c>
      <c r="D40">
        <v>38</v>
      </c>
      <c r="E40">
        <v>9700</v>
      </c>
      <c r="H40" t="s">
        <v>121</v>
      </c>
      <c r="J40" s="202">
        <v>52.301163586584529</v>
      </c>
      <c r="K40">
        <v>0</v>
      </c>
      <c r="L40" t="s">
        <v>49</v>
      </c>
      <c r="M40" t="s">
        <v>287</v>
      </c>
      <c r="N40" t="s">
        <v>509</v>
      </c>
      <c r="O40">
        <v>0</v>
      </c>
      <c r="P40">
        <v>0</v>
      </c>
      <c r="Q40">
        <v>0</v>
      </c>
      <c r="R40">
        <v>0</v>
      </c>
      <c r="S40">
        <v>0</v>
      </c>
      <c r="T40" t="s">
        <v>342</v>
      </c>
      <c r="U40" t="s">
        <v>506</v>
      </c>
      <c r="V40">
        <v>0</v>
      </c>
      <c r="W40">
        <v>0</v>
      </c>
      <c r="X40">
        <v>1</v>
      </c>
      <c r="Y40">
        <v>0</v>
      </c>
      <c r="Z40">
        <v>0</v>
      </c>
      <c r="AA40">
        <v>0</v>
      </c>
      <c r="AD40">
        <v>3.3839835728952772</v>
      </c>
      <c r="AE40">
        <v>0</v>
      </c>
      <c r="AF40">
        <v>0</v>
      </c>
      <c r="AG40" t="s">
        <v>390</v>
      </c>
      <c r="AH40">
        <v>1</v>
      </c>
      <c r="AI40" t="s">
        <v>315</v>
      </c>
      <c r="AK40">
        <v>6.7022587268993838</v>
      </c>
      <c r="AL40">
        <v>0</v>
      </c>
      <c r="AM40">
        <v>10.086242299794661</v>
      </c>
      <c r="AN40" s="202">
        <v>1</v>
      </c>
      <c r="AO40">
        <v>1</v>
      </c>
      <c r="AR40">
        <v>1.8571428571428572</v>
      </c>
      <c r="AS40">
        <v>10</v>
      </c>
      <c r="AT40">
        <v>5</v>
      </c>
      <c r="AU40">
        <v>50</v>
      </c>
      <c r="AV40">
        <v>0</v>
      </c>
      <c r="AW40">
        <v>0</v>
      </c>
      <c r="AX40">
        <v>1</v>
      </c>
      <c r="AY40">
        <v>0</v>
      </c>
      <c r="AZ40">
        <v>0</v>
      </c>
      <c r="BA40">
        <v>0</v>
      </c>
      <c r="BB40">
        <v>0</v>
      </c>
      <c r="BC40">
        <v>1</v>
      </c>
      <c r="BD40" s="202">
        <v>0</v>
      </c>
      <c r="BJ40" s="202">
        <v>43.926078028747433</v>
      </c>
      <c r="BK40" s="202">
        <v>1337</v>
      </c>
      <c r="BL40">
        <v>0</v>
      </c>
      <c r="BO40">
        <v>35.94250513347022</v>
      </c>
      <c r="BP40">
        <v>1093.9999999999998</v>
      </c>
      <c r="BQ40">
        <v>0</v>
      </c>
      <c r="BS40">
        <v>35.94250513347022</v>
      </c>
      <c r="BT40">
        <v>1093.9999999999998</v>
      </c>
      <c r="BU40">
        <v>0</v>
      </c>
      <c r="BV40">
        <v>1</v>
      </c>
      <c r="BW40">
        <v>1</v>
      </c>
      <c r="BY40">
        <v>35.94250513347022</v>
      </c>
      <c r="BZ40">
        <v>1093.9999999999998</v>
      </c>
      <c r="CA40">
        <v>0</v>
      </c>
      <c r="CC40">
        <v>35.94250513347022</v>
      </c>
      <c r="CD40">
        <v>1093.9999999999998</v>
      </c>
      <c r="CE40" t="s">
        <v>38</v>
      </c>
      <c r="CF40" t="s">
        <v>38</v>
      </c>
      <c r="CG40">
        <v>1</v>
      </c>
      <c r="CH40">
        <v>3.76</v>
      </c>
    </row>
    <row r="41" spans="3:86">
      <c r="C41">
        <v>110</v>
      </c>
      <c r="D41">
        <v>39</v>
      </c>
      <c r="E41">
        <v>9700</v>
      </c>
      <c r="H41" t="s">
        <v>50</v>
      </c>
      <c r="J41" s="202">
        <v>57.511293634496923</v>
      </c>
      <c r="K41">
        <v>1</v>
      </c>
      <c r="L41" t="s">
        <v>190</v>
      </c>
      <c r="M41" t="s">
        <v>64</v>
      </c>
      <c r="N41" t="s">
        <v>107</v>
      </c>
      <c r="O41">
        <v>1</v>
      </c>
      <c r="P41">
        <v>0</v>
      </c>
      <c r="Q41">
        <v>0</v>
      </c>
      <c r="R41">
        <v>0</v>
      </c>
      <c r="S41">
        <v>0</v>
      </c>
      <c r="T41" t="s">
        <v>155</v>
      </c>
      <c r="U41" t="s">
        <v>402</v>
      </c>
      <c r="V41">
        <v>1</v>
      </c>
      <c r="W41">
        <v>0</v>
      </c>
      <c r="X41">
        <v>0</v>
      </c>
      <c r="Y41">
        <v>0</v>
      </c>
      <c r="Z41">
        <v>0</v>
      </c>
      <c r="AA41">
        <v>0</v>
      </c>
      <c r="AD41">
        <v>0.3613963039014374</v>
      </c>
      <c r="AE41">
        <v>1</v>
      </c>
      <c r="AF41">
        <v>1</v>
      </c>
      <c r="AG41" t="s">
        <v>389</v>
      </c>
      <c r="AH41">
        <v>1</v>
      </c>
      <c r="AI41" t="s">
        <v>315</v>
      </c>
      <c r="AK41">
        <v>8.8049281314168386</v>
      </c>
      <c r="AL41">
        <v>16.427104722792606</v>
      </c>
      <c r="AM41">
        <v>25.593429158110883</v>
      </c>
      <c r="AN41" s="202">
        <v>2</v>
      </c>
      <c r="AO41">
        <v>0</v>
      </c>
      <c r="AR41">
        <v>1.5714285714285714</v>
      </c>
      <c r="AS41">
        <v>10</v>
      </c>
      <c r="AT41">
        <v>5</v>
      </c>
      <c r="AU41">
        <v>50</v>
      </c>
      <c r="AV41">
        <v>0</v>
      </c>
      <c r="AW41">
        <v>0</v>
      </c>
      <c r="AX41">
        <v>1</v>
      </c>
      <c r="AY41">
        <v>0</v>
      </c>
      <c r="AZ41">
        <v>0</v>
      </c>
      <c r="BA41">
        <v>0</v>
      </c>
      <c r="BB41">
        <v>0</v>
      </c>
      <c r="BC41">
        <v>1</v>
      </c>
      <c r="BD41" s="202">
        <v>0</v>
      </c>
      <c r="BJ41" s="202">
        <v>42.973305954825463</v>
      </c>
      <c r="BK41" s="202">
        <v>1308</v>
      </c>
      <c r="BL41">
        <v>0</v>
      </c>
      <c r="BO41">
        <v>30.882956878850102</v>
      </c>
      <c r="BP41">
        <v>940</v>
      </c>
      <c r="BQ41">
        <v>0</v>
      </c>
      <c r="BS41">
        <v>30.882956878850102</v>
      </c>
      <c r="BT41">
        <v>940</v>
      </c>
      <c r="BU41">
        <v>0</v>
      </c>
      <c r="BV41">
        <v>1</v>
      </c>
      <c r="BW41">
        <v>1</v>
      </c>
      <c r="BY41">
        <v>30.882956878850102</v>
      </c>
      <c r="BZ41">
        <v>940</v>
      </c>
      <c r="CA41">
        <v>0</v>
      </c>
      <c r="CC41">
        <v>30.882956878850102</v>
      </c>
      <c r="CD41">
        <v>940</v>
      </c>
      <c r="CG41">
        <v>2</v>
      </c>
      <c r="CH41">
        <v>12.65</v>
      </c>
    </row>
    <row r="42" spans="3:86">
      <c r="C42">
        <v>112</v>
      </c>
      <c r="D42">
        <v>40</v>
      </c>
      <c r="E42">
        <v>9700</v>
      </c>
      <c r="H42" t="s">
        <v>121</v>
      </c>
      <c r="J42" s="202">
        <v>53.941136208076657</v>
      </c>
      <c r="K42">
        <v>1</v>
      </c>
      <c r="L42" t="s">
        <v>49</v>
      </c>
      <c r="M42" t="s">
        <v>327</v>
      </c>
      <c r="N42" t="s">
        <v>510</v>
      </c>
      <c r="O42">
        <v>0</v>
      </c>
      <c r="P42">
        <v>1</v>
      </c>
      <c r="Q42">
        <v>0</v>
      </c>
      <c r="R42">
        <v>0</v>
      </c>
      <c r="S42">
        <v>0</v>
      </c>
      <c r="T42" t="s">
        <v>155</v>
      </c>
      <c r="U42" t="s">
        <v>402</v>
      </c>
      <c r="V42">
        <v>1</v>
      </c>
      <c r="W42">
        <v>0</v>
      </c>
      <c r="X42">
        <v>0</v>
      </c>
      <c r="Y42">
        <v>0</v>
      </c>
      <c r="Z42">
        <v>0</v>
      </c>
      <c r="AA42">
        <v>0</v>
      </c>
      <c r="AD42">
        <v>0</v>
      </c>
      <c r="AE42">
        <v>0</v>
      </c>
      <c r="AF42">
        <v>0</v>
      </c>
      <c r="AG42" t="s">
        <v>389</v>
      </c>
      <c r="AH42">
        <v>1</v>
      </c>
      <c r="AI42" t="s">
        <v>327</v>
      </c>
      <c r="AK42">
        <v>7.7535934291581112</v>
      </c>
      <c r="AL42">
        <v>0</v>
      </c>
      <c r="AM42">
        <v>7.7535934291581112</v>
      </c>
      <c r="AN42" s="202">
        <v>3</v>
      </c>
      <c r="AO42">
        <v>0</v>
      </c>
      <c r="AR42">
        <v>2.1428571428571428</v>
      </c>
      <c r="AS42">
        <v>10</v>
      </c>
      <c r="AT42">
        <v>5</v>
      </c>
      <c r="AU42">
        <v>50</v>
      </c>
      <c r="AV42">
        <v>1</v>
      </c>
      <c r="AW42">
        <v>1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2</v>
      </c>
      <c r="BD42" s="202">
        <v>0</v>
      </c>
      <c r="BJ42" s="202">
        <v>42.776180698151947</v>
      </c>
      <c r="BK42" s="202">
        <v>1301.9999999999998</v>
      </c>
      <c r="BL42">
        <v>0</v>
      </c>
      <c r="BO42">
        <v>42.217659137577002</v>
      </c>
      <c r="BP42">
        <v>1285</v>
      </c>
      <c r="BQ42">
        <v>0</v>
      </c>
      <c r="BS42">
        <v>42.217659137577002</v>
      </c>
      <c r="BT42">
        <v>1285</v>
      </c>
      <c r="BU42">
        <v>0</v>
      </c>
      <c r="BV42">
        <v>1</v>
      </c>
      <c r="BW42">
        <v>1</v>
      </c>
      <c r="BY42">
        <v>42.217659137577002</v>
      </c>
      <c r="BZ42">
        <v>1285</v>
      </c>
      <c r="CA42">
        <v>0</v>
      </c>
      <c r="CC42">
        <v>42.217659137577002</v>
      </c>
      <c r="CD42">
        <v>1285</v>
      </c>
      <c r="CE42" t="s">
        <v>38</v>
      </c>
      <c r="CF42" t="s">
        <v>38</v>
      </c>
      <c r="CG42">
        <v>1</v>
      </c>
      <c r="CH42">
        <v>7.1300000000000008</v>
      </c>
    </row>
    <row r="43" spans="3:86">
      <c r="C43">
        <v>116</v>
      </c>
      <c r="D43">
        <v>41</v>
      </c>
      <c r="E43">
        <v>9700</v>
      </c>
      <c r="H43" t="s">
        <v>121</v>
      </c>
      <c r="J43" s="202">
        <v>56.114989733059545</v>
      </c>
      <c r="K43">
        <v>0</v>
      </c>
      <c r="L43" t="s">
        <v>34</v>
      </c>
      <c r="M43" t="s">
        <v>347</v>
      </c>
      <c r="N43" t="s">
        <v>509</v>
      </c>
      <c r="O43">
        <v>0</v>
      </c>
      <c r="P43">
        <v>0</v>
      </c>
      <c r="Q43">
        <v>0</v>
      </c>
      <c r="R43">
        <v>0</v>
      </c>
      <c r="S43">
        <v>0</v>
      </c>
      <c r="T43" t="s">
        <v>342</v>
      </c>
      <c r="U43" t="s">
        <v>506</v>
      </c>
      <c r="V43">
        <v>0</v>
      </c>
      <c r="W43">
        <v>0</v>
      </c>
      <c r="X43">
        <v>1</v>
      </c>
      <c r="Y43">
        <v>0</v>
      </c>
      <c r="Z43">
        <v>0</v>
      </c>
      <c r="AA43">
        <v>0</v>
      </c>
      <c r="AD43">
        <v>96</v>
      </c>
      <c r="AE43">
        <v>0</v>
      </c>
      <c r="AF43">
        <v>0</v>
      </c>
      <c r="AG43" t="s">
        <v>391</v>
      </c>
      <c r="AH43">
        <v>0</v>
      </c>
      <c r="AI43" t="s">
        <v>327</v>
      </c>
      <c r="AK43">
        <v>40.147843942505133</v>
      </c>
      <c r="AL43">
        <v>0</v>
      </c>
      <c r="AM43">
        <v>136.14784394250515</v>
      </c>
      <c r="AN43" s="202">
        <v>4</v>
      </c>
      <c r="AO43">
        <v>0</v>
      </c>
      <c r="AR43">
        <v>2.1428571428571428</v>
      </c>
      <c r="AS43">
        <v>10</v>
      </c>
      <c r="AT43">
        <v>5</v>
      </c>
      <c r="AU43">
        <v>50</v>
      </c>
      <c r="AV43">
        <v>1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1</v>
      </c>
      <c r="BD43" s="202">
        <v>0</v>
      </c>
      <c r="BJ43" s="202">
        <v>41.396303901437371</v>
      </c>
      <c r="BK43" s="202">
        <v>1260</v>
      </c>
      <c r="BL43">
        <v>1</v>
      </c>
      <c r="BN43">
        <v>18.365503080082135</v>
      </c>
      <c r="BO43">
        <v>19.7782340862423</v>
      </c>
      <c r="BP43">
        <v>602</v>
      </c>
      <c r="BQ43">
        <v>1</v>
      </c>
      <c r="BS43">
        <v>28.517453798767967</v>
      </c>
      <c r="BT43">
        <v>868</v>
      </c>
      <c r="BU43">
        <v>1</v>
      </c>
      <c r="BV43">
        <v>0</v>
      </c>
      <c r="BW43">
        <v>0</v>
      </c>
      <c r="BX43">
        <v>37419</v>
      </c>
      <c r="BY43">
        <v>19.7782340862423</v>
      </c>
      <c r="BZ43">
        <v>602</v>
      </c>
      <c r="CA43">
        <v>1</v>
      </c>
      <c r="CC43">
        <v>19.7782340862423</v>
      </c>
      <c r="CD43">
        <v>602</v>
      </c>
      <c r="CG43">
        <v>2</v>
      </c>
      <c r="CH43">
        <v>13.79</v>
      </c>
    </row>
    <row r="44" spans="3:86">
      <c r="C44">
        <v>120</v>
      </c>
      <c r="D44">
        <v>42</v>
      </c>
      <c r="E44">
        <v>9700</v>
      </c>
      <c r="H44" t="s">
        <v>50</v>
      </c>
      <c r="J44" s="202">
        <v>67.887748117727583</v>
      </c>
      <c r="K44">
        <v>1</v>
      </c>
      <c r="L44" t="s">
        <v>48</v>
      </c>
      <c r="M44" t="s">
        <v>327</v>
      </c>
      <c r="N44" t="s">
        <v>510</v>
      </c>
      <c r="O44">
        <v>0</v>
      </c>
      <c r="P44">
        <v>1</v>
      </c>
      <c r="Q44">
        <v>0</v>
      </c>
      <c r="R44">
        <v>0</v>
      </c>
      <c r="S44">
        <v>0</v>
      </c>
      <c r="T44" t="s">
        <v>155</v>
      </c>
      <c r="U44" t="s">
        <v>402</v>
      </c>
      <c r="V44">
        <v>1</v>
      </c>
      <c r="W44">
        <v>0</v>
      </c>
      <c r="X44">
        <v>0</v>
      </c>
      <c r="Y44">
        <v>0</v>
      </c>
      <c r="Z44">
        <v>0</v>
      </c>
      <c r="AA44">
        <v>0</v>
      </c>
      <c r="AD44">
        <v>97.80698151950719</v>
      </c>
      <c r="AE44">
        <v>1</v>
      </c>
      <c r="AF44">
        <v>0</v>
      </c>
      <c r="AG44" t="s">
        <v>390</v>
      </c>
      <c r="AH44">
        <v>1</v>
      </c>
      <c r="AI44" t="s">
        <v>327</v>
      </c>
      <c r="AK44">
        <v>1.1170431211498972</v>
      </c>
      <c r="AL44">
        <v>15.441478439425051</v>
      </c>
      <c r="AM44">
        <v>114.36550308008214</v>
      </c>
      <c r="AN44" s="202">
        <v>1</v>
      </c>
      <c r="AO44">
        <v>1</v>
      </c>
      <c r="AR44">
        <v>2</v>
      </c>
      <c r="AS44">
        <v>10</v>
      </c>
      <c r="AT44">
        <v>5</v>
      </c>
      <c r="AU44">
        <v>50</v>
      </c>
      <c r="AV44">
        <v>1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1</v>
      </c>
      <c r="BD44" s="202">
        <v>0</v>
      </c>
      <c r="BJ44" s="202">
        <v>41.199178644763862</v>
      </c>
      <c r="BK44" s="202">
        <v>1254</v>
      </c>
      <c r="BL44">
        <v>0</v>
      </c>
      <c r="BO44">
        <v>28.813141683778234</v>
      </c>
      <c r="BP44">
        <v>877</v>
      </c>
      <c r="BQ44">
        <v>0</v>
      </c>
      <c r="BS44">
        <v>20.501026694045173</v>
      </c>
      <c r="BT44">
        <v>623.99999999999989</v>
      </c>
      <c r="BU44">
        <v>1</v>
      </c>
      <c r="BV44">
        <v>0</v>
      </c>
      <c r="BW44">
        <v>0</v>
      </c>
      <c r="BX44">
        <v>37447</v>
      </c>
      <c r="BY44">
        <v>20.501026694045173</v>
      </c>
      <c r="BZ44">
        <v>623.99999999999989</v>
      </c>
      <c r="CA44">
        <v>1</v>
      </c>
      <c r="CC44">
        <v>20.501026694045173</v>
      </c>
      <c r="CD44">
        <v>623.99999999999989</v>
      </c>
      <c r="CE44" t="s">
        <v>38</v>
      </c>
      <c r="CF44" t="s">
        <v>38</v>
      </c>
      <c r="CG44">
        <v>1</v>
      </c>
      <c r="CH44">
        <v>9.44</v>
      </c>
    </row>
    <row r="45" spans="3:86">
      <c r="C45">
        <v>122</v>
      </c>
      <c r="D45">
        <v>43</v>
      </c>
      <c r="E45">
        <v>9700</v>
      </c>
      <c r="H45" t="s">
        <v>121</v>
      </c>
      <c r="J45" s="202">
        <v>61.741273100616013</v>
      </c>
      <c r="K45">
        <v>0</v>
      </c>
      <c r="L45" t="s">
        <v>34</v>
      </c>
      <c r="M45" t="s">
        <v>292</v>
      </c>
      <c r="N45" t="s">
        <v>509</v>
      </c>
      <c r="O45">
        <v>0</v>
      </c>
      <c r="P45">
        <v>0</v>
      </c>
      <c r="Q45">
        <v>0</v>
      </c>
      <c r="R45">
        <v>0</v>
      </c>
      <c r="S45">
        <v>0</v>
      </c>
      <c r="T45" t="s">
        <v>110</v>
      </c>
      <c r="U45" t="s">
        <v>508</v>
      </c>
      <c r="V45">
        <v>0</v>
      </c>
      <c r="W45">
        <v>0</v>
      </c>
      <c r="X45">
        <v>0</v>
      </c>
      <c r="Y45">
        <v>1</v>
      </c>
      <c r="Z45">
        <v>0</v>
      </c>
      <c r="AA45">
        <v>0</v>
      </c>
      <c r="AD45">
        <v>0</v>
      </c>
      <c r="AE45">
        <v>1</v>
      </c>
      <c r="AF45">
        <v>1</v>
      </c>
      <c r="AG45" t="s">
        <v>389</v>
      </c>
      <c r="AH45">
        <v>1</v>
      </c>
      <c r="AI45" t="s">
        <v>315</v>
      </c>
      <c r="AK45">
        <v>1.9055441478439425</v>
      </c>
      <c r="AL45">
        <v>19.186858316221766</v>
      </c>
      <c r="AM45">
        <v>21.09240246406571</v>
      </c>
      <c r="AN45" s="202">
        <v>2</v>
      </c>
      <c r="AO45">
        <v>0</v>
      </c>
      <c r="AR45">
        <v>1.5714285714285714</v>
      </c>
      <c r="AS45">
        <v>10</v>
      </c>
      <c r="AT45">
        <v>3.75</v>
      </c>
      <c r="AU45">
        <v>37.5</v>
      </c>
      <c r="AV45">
        <v>0</v>
      </c>
      <c r="AW45">
        <v>0</v>
      </c>
      <c r="AX45">
        <v>1</v>
      </c>
      <c r="AY45">
        <v>0</v>
      </c>
      <c r="AZ45">
        <v>0</v>
      </c>
      <c r="BA45">
        <v>0</v>
      </c>
      <c r="BB45">
        <v>0</v>
      </c>
      <c r="BC45">
        <v>1</v>
      </c>
      <c r="BD45" s="202">
        <v>0</v>
      </c>
      <c r="BJ45" s="202">
        <v>40.410677618069819</v>
      </c>
      <c r="BK45" s="202">
        <v>1230.0000000000002</v>
      </c>
      <c r="BL45">
        <v>1</v>
      </c>
      <c r="BN45">
        <v>20.468172484599588</v>
      </c>
      <c r="BO45">
        <v>21.420944558521562</v>
      </c>
      <c r="BP45">
        <v>652.00000000000011</v>
      </c>
      <c r="BQ45">
        <v>0</v>
      </c>
      <c r="BS45">
        <v>28.320328542094458</v>
      </c>
      <c r="BT45">
        <v>862</v>
      </c>
      <c r="BU45">
        <v>1</v>
      </c>
      <c r="BV45">
        <v>1</v>
      </c>
      <c r="BW45">
        <v>1</v>
      </c>
      <c r="BX45">
        <v>37499</v>
      </c>
      <c r="BY45">
        <v>21.420944558521562</v>
      </c>
      <c r="BZ45">
        <v>652.00000000000011</v>
      </c>
      <c r="CA45">
        <v>0</v>
      </c>
      <c r="CC45">
        <v>28.320328542094458</v>
      </c>
      <c r="CD45">
        <v>862</v>
      </c>
      <c r="CG45">
        <v>5</v>
      </c>
      <c r="CH45">
        <v>238.95999999999998</v>
      </c>
    </row>
    <row r="46" spans="3:86">
      <c r="C46">
        <v>133</v>
      </c>
      <c r="D46">
        <v>44</v>
      </c>
      <c r="E46">
        <v>9700</v>
      </c>
      <c r="H46" t="s">
        <v>121</v>
      </c>
      <c r="J46" s="202">
        <v>59.698836413415471</v>
      </c>
      <c r="K46">
        <v>1</v>
      </c>
      <c r="L46" t="s">
        <v>34</v>
      </c>
      <c r="M46" t="s">
        <v>122</v>
      </c>
      <c r="N46" t="s">
        <v>403</v>
      </c>
      <c r="O46">
        <v>0</v>
      </c>
      <c r="P46">
        <v>0</v>
      </c>
      <c r="Q46">
        <v>1</v>
      </c>
      <c r="R46">
        <v>0</v>
      </c>
      <c r="S46">
        <v>0</v>
      </c>
      <c r="T46" t="s">
        <v>39</v>
      </c>
      <c r="U46" t="s">
        <v>402</v>
      </c>
      <c r="V46">
        <v>1</v>
      </c>
      <c r="W46">
        <v>0</v>
      </c>
      <c r="X46">
        <v>0</v>
      </c>
      <c r="Y46">
        <v>0</v>
      </c>
      <c r="Z46">
        <v>0</v>
      </c>
      <c r="AA46">
        <v>0</v>
      </c>
      <c r="AD46">
        <v>66.069815195071868</v>
      </c>
      <c r="AE46">
        <v>0</v>
      </c>
      <c r="AF46">
        <v>0</v>
      </c>
      <c r="AG46" t="s">
        <v>387</v>
      </c>
      <c r="AH46">
        <v>1</v>
      </c>
      <c r="AI46" t="s">
        <v>315</v>
      </c>
      <c r="AK46">
        <v>6.9650924024640659</v>
      </c>
      <c r="AL46">
        <v>0</v>
      </c>
      <c r="AM46">
        <v>73.034907597535934</v>
      </c>
      <c r="AN46" s="202">
        <v>1</v>
      </c>
      <c r="AO46">
        <v>1</v>
      </c>
      <c r="AR46">
        <v>1.4285714285714286</v>
      </c>
      <c r="AS46">
        <v>9</v>
      </c>
      <c r="AT46">
        <v>4.3</v>
      </c>
      <c r="AU46">
        <v>38.699999999999996</v>
      </c>
      <c r="AV46">
        <v>0</v>
      </c>
      <c r="AW46">
        <v>0</v>
      </c>
      <c r="AX46">
        <v>1</v>
      </c>
      <c r="AY46">
        <v>0</v>
      </c>
      <c r="AZ46">
        <v>0</v>
      </c>
      <c r="BA46">
        <v>0</v>
      </c>
      <c r="BB46">
        <v>0</v>
      </c>
      <c r="BC46">
        <v>1</v>
      </c>
      <c r="BD46" s="202">
        <v>1</v>
      </c>
      <c r="BJ46" s="202">
        <v>33.642710472279262</v>
      </c>
      <c r="BK46" s="202">
        <v>1024</v>
      </c>
      <c r="BL46">
        <v>1</v>
      </c>
      <c r="BN46">
        <v>16.95277207392197</v>
      </c>
      <c r="BO46">
        <v>17.642710472279262</v>
      </c>
      <c r="BP46">
        <v>537.00000000000011</v>
      </c>
      <c r="BQ46">
        <v>1</v>
      </c>
      <c r="BS46">
        <v>17.642710472279262</v>
      </c>
      <c r="BT46">
        <v>537.00000000000011</v>
      </c>
      <c r="BU46">
        <v>1</v>
      </c>
      <c r="BV46">
        <v>0</v>
      </c>
      <c r="BW46">
        <v>0</v>
      </c>
      <c r="BX46">
        <v>37518</v>
      </c>
      <c r="BY46">
        <v>17.642710472279262</v>
      </c>
      <c r="BZ46">
        <v>537.00000000000011</v>
      </c>
      <c r="CA46">
        <v>1</v>
      </c>
      <c r="CC46">
        <v>17.642710472279262</v>
      </c>
      <c r="CD46">
        <v>537.00000000000011</v>
      </c>
      <c r="CE46" t="s">
        <v>38</v>
      </c>
      <c r="CF46" t="s">
        <v>38</v>
      </c>
      <c r="CG46">
        <v>2</v>
      </c>
      <c r="CH46">
        <v>16.829999999999998</v>
      </c>
    </row>
    <row r="47" spans="3:86">
      <c r="C47">
        <v>134</v>
      </c>
      <c r="D47">
        <v>45</v>
      </c>
      <c r="E47">
        <v>9700</v>
      </c>
      <c r="H47" t="s">
        <v>121</v>
      </c>
      <c r="J47" s="202">
        <v>78.945927446954144</v>
      </c>
      <c r="K47">
        <v>1</v>
      </c>
      <c r="L47" t="s">
        <v>49</v>
      </c>
      <c r="M47" t="s">
        <v>64</v>
      </c>
      <c r="N47" t="s">
        <v>107</v>
      </c>
      <c r="O47">
        <v>1</v>
      </c>
      <c r="P47">
        <v>0</v>
      </c>
      <c r="Q47">
        <v>0</v>
      </c>
      <c r="R47">
        <v>0</v>
      </c>
      <c r="S47">
        <v>0</v>
      </c>
      <c r="T47" t="s">
        <v>155</v>
      </c>
      <c r="U47" t="s">
        <v>402</v>
      </c>
      <c r="V47">
        <v>1</v>
      </c>
      <c r="W47">
        <v>0</v>
      </c>
      <c r="X47">
        <v>0</v>
      </c>
      <c r="Y47">
        <v>0</v>
      </c>
      <c r="Z47">
        <v>0</v>
      </c>
      <c r="AA47">
        <v>0</v>
      </c>
      <c r="AD47">
        <v>1.1498973305954825</v>
      </c>
      <c r="AE47">
        <v>0</v>
      </c>
      <c r="AF47">
        <v>0</v>
      </c>
      <c r="AG47" t="s">
        <v>389</v>
      </c>
      <c r="AH47">
        <v>1</v>
      </c>
      <c r="AI47" t="s">
        <v>320</v>
      </c>
      <c r="AK47">
        <v>20.172484599589321</v>
      </c>
      <c r="AL47">
        <v>-0.13141683778234087</v>
      </c>
      <c r="AM47">
        <v>21.190965092402465</v>
      </c>
      <c r="AN47" s="202">
        <v>2</v>
      </c>
      <c r="AO47">
        <v>0</v>
      </c>
      <c r="AR47">
        <v>2.2857142857142856</v>
      </c>
      <c r="AS47">
        <v>10</v>
      </c>
      <c r="AT47">
        <v>5</v>
      </c>
      <c r="AU47">
        <v>50</v>
      </c>
      <c r="AV47">
        <v>1</v>
      </c>
      <c r="AW47">
        <v>0</v>
      </c>
      <c r="AX47">
        <v>1</v>
      </c>
      <c r="AY47">
        <v>0</v>
      </c>
      <c r="AZ47">
        <v>0</v>
      </c>
      <c r="BA47">
        <v>0</v>
      </c>
      <c r="BB47">
        <v>0</v>
      </c>
      <c r="BC47">
        <v>2</v>
      </c>
      <c r="BD47" s="202">
        <v>1</v>
      </c>
      <c r="BJ47" s="202">
        <v>26.020533880903493</v>
      </c>
      <c r="BK47" s="202">
        <v>792</v>
      </c>
      <c r="BL47">
        <v>0</v>
      </c>
      <c r="BO47">
        <v>23.753593429158112</v>
      </c>
      <c r="BP47">
        <v>723</v>
      </c>
      <c r="BQ47">
        <v>1</v>
      </c>
      <c r="BS47">
        <v>15.835728952772074</v>
      </c>
      <c r="BT47">
        <v>482</v>
      </c>
      <c r="BU47">
        <v>1</v>
      </c>
      <c r="BV47">
        <v>0</v>
      </c>
      <c r="BW47">
        <v>0</v>
      </c>
      <c r="BX47">
        <v>37468</v>
      </c>
      <c r="BY47">
        <v>15.835728952772074</v>
      </c>
      <c r="BZ47">
        <v>482</v>
      </c>
      <c r="CA47">
        <v>1</v>
      </c>
      <c r="CC47">
        <v>15.835728952772074</v>
      </c>
      <c r="CD47">
        <v>482</v>
      </c>
      <c r="CG47">
        <v>3</v>
      </c>
      <c r="CH47">
        <v>38.32</v>
      </c>
    </row>
    <row r="48" spans="3:86">
      <c r="C48">
        <v>4</v>
      </c>
      <c r="D48">
        <v>46</v>
      </c>
      <c r="E48">
        <v>8700</v>
      </c>
      <c r="H48" t="s">
        <v>121</v>
      </c>
      <c r="J48" s="202">
        <v>47.351129363449694</v>
      </c>
      <c r="K48">
        <v>1</v>
      </c>
      <c r="L48" t="s">
        <v>49</v>
      </c>
      <c r="M48" t="s">
        <v>122</v>
      </c>
      <c r="N48" t="s">
        <v>403</v>
      </c>
      <c r="O48">
        <v>0</v>
      </c>
      <c r="P48">
        <v>0</v>
      </c>
      <c r="Q48">
        <v>1</v>
      </c>
      <c r="R48">
        <v>0</v>
      </c>
      <c r="S48">
        <v>0</v>
      </c>
      <c r="T48" t="s">
        <v>476</v>
      </c>
      <c r="U48" t="s">
        <v>402</v>
      </c>
      <c r="V48">
        <v>1</v>
      </c>
      <c r="W48">
        <v>0</v>
      </c>
      <c r="X48">
        <v>0</v>
      </c>
      <c r="Y48">
        <v>0</v>
      </c>
      <c r="Z48">
        <v>0</v>
      </c>
      <c r="AA48">
        <v>0</v>
      </c>
      <c r="AD48">
        <v>12.648870636550308</v>
      </c>
      <c r="AE48">
        <v>0</v>
      </c>
      <c r="AF48">
        <v>0</v>
      </c>
      <c r="AG48" t="s">
        <v>387</v>
      </c>
      <c r="AH48">
        <v>1</v>
      </c>
      <c r="AI48" t="s">
        <v>315</v>
      </c>
      <c r="AK48">
        <v>0.7885010266940452</v>
      </c>
      <c r="AL48">
        <v>0</v>
      </c>
      <c r="AM48">
        <v>13.437371663244353</v>
      </c>
      <c r="AN48" s="202">
        <v>2</v>
      </c>
      <c r="AO48">
        <v>0</v>
      </c>
      <c r="AR48">
        <v>1.8571428571428572</v>
      </c>
      <c r="AS48">
        <v>10</v>
      </c>
      <c r="AT48">
        <v>5</v>
      </c>
      <c r="AU48">
        <v>50</v>
      </c>
      <c r="AV48">
        <v>0</v>
      </c>
      <c r="AW48">
        <v>0</v>
      </c>
      <c r="AX48">
        <v>1</v>
      </c>
      <c r="AY48">
        <v>0</v>
      </c>
      <c r="AZ48">
        <v>0</v>
      </c>
      <c r="BA48">
        <v>0</v>
      </c>
      <c r="BB48">
        <v>0</v>
      </c>
      <c r="BC48">
        <v>1</v>
      </c>
      <c r="BD48" s="202">
        <v>1</v>
      </c>
      <c r="BI48" t="s">
        <v>82</v>
      </c>
      <c r="BJ48" s="202">
        <v>11.860369609856264</v>
      </c>
      <c r="BK48" s="202">
        <v>361</v>
      </c>
      <c r="BL48">
        <v>0</v>
      </c>
      <c r="BO48">
        <v>11.860369609856264</v>
      </c>
      <c r="BP48">
        <v>361</v>
      </c>
      <c r="BQ48">
        <v>1</v>
      </c>
      <c r="BS48">
        <v>4.862422997946612</v>
      </c>
      <c r="BT48">
        <v>148</v>
      </c>
      <c r="BU48">
        <v>1</v>
      </c>
      <c r="BX48">
        <v>35764</v>
      </c>
      <c r="BY48">
        <v>4.862422997946612</v>
      </c>
      <c r="BZ48">
        <v>148</v>
      </c>
      <c r="CA48">
        <v>1</v>
      </c>
      <c r="CC48">
        <v>4.862422997946612</v>
      </c>
      <c r="CD48">
        <v>148</v>
      </c>
      <c r="CG48">
        <v>3</v>
      </c>
      <c r="CH48">
        <v>35</v>
      </c>
    </row>
    <row r="49" spans="3:86">
      <c r="C49">
        <v>6</v>
      </c>
      <c r="D49">
        <v>47</v>
      </c>
      <c r="E49">
        <v>8700</v>
      </c>
      <c r="H49" t="s">
        <v>121</v>
      </c>
      <c r="J49" s="202">
        <v>61.256673511293634</v>
      </c>
      <c r="K49">
        <v>1</v>
      </c>
      <c r="L49" t="s">
        <v>49</v>
      </c>
      <c r="M49" t="s">
        <v>122</v>
      </c>
      <c r="N49" t="s">
        <v>403</v>
      </c>
      <c r="O49">
        <v>0</v>
      </c>
      <c r="P49">
        <v>0</v>
      </c>
      <c r="Q49">
        <v>1</v>
      </c>
      <c r="R49">
        <v>0</v>
      </c>
      <c r="S49">
        <v>0</v>
      </c>
      <c r="T49" t="s">
        <v>475</v>
      </c>
      <c r="U49" t="s">
        <v>402</v>
      </c>
      <c r="V49">
        <v>1</v>
      </c>
      <c r="W49">
        <v>0</v>
      </c>
      <c r="X49">
        <v>0</v>
      </c>
      <c r="Y49">
        <v>0</v>
      </c>
      <c r="Z49">
        <v>0</v>
      </c>
      <c r="AA49">
        <v>0</v>
      </c>
      <c r="AD49">
        <v>51.942505133470235</v>
      </c>
      <c r="AE49">
        <v>0</v>
      </c>
      <c r="AF49">
        <v>1</v>
      </c>
      <c r="AG49" t="s">
        <v>387</v>
      </c>
      <c r="AH49">
        <v>1</v>
      </c>
      <c r="AI49" t="s">
        <v>315</v>
      </c>
      <c r="AK49">
        <v>11.958932238193018</v>
      </c>
      <c r="AL49">
        <v>0</v>
      </c>
      <c r="AM49">
        <v>63.901437371663242</v>
      </c>
      <c r="AN49" s="202">
        <v>3</v>
      </c>
      <c r="AO49">
        <v>0</v>
      </c>
      <c r="AR49">
        <v>2</v>
      </c>
      <c r="AS49">
        <v>10</v>
      </c>
      <c r="AT49">
        <v>3.7</v>
      </c>
      <c r="AU49">
        <v>37</v>
      </c>
      <c r="AV49">
        <v>0</v>
      </c>
      <c r="AW49">
        <v>0</v>
      </c>
      <c r="AX49">
        <v>1</v>
      </c>
      <c r="AY49">
        <v>0</v>
      </c>
      <c r="AZ49">
        <v>0</v>
      </c>
      <c r="BA49">
        <v>0</v>
      </c>
      <c r="BB49">
        <v>1</v>
      </c>
      <c r="BC49">
        <v>1</v>
      </c>
      <c r="BD49" s="202">
        <v>1</v>
      </c>
      <c r="BI49" t="s">
        <v>82</v>
      </c>
      <c r="BJ49" s="202">
        <v>6.6036960985626294</v>
      </c>
      <c r="BK49" s="202">
        <v>201.00000000000003</v>
      </c>
      <c r="BL49">
        <v>0</v>
      </c>
      <c r="BO49">
        <v>6.6036960985626294</v>
      </c>
      <c r="BP49">
        <v>201.00000000000003</v>
      </c>
      <c r="BQ49">
        <v>1</v>
      </c>
      <c r="BS49">
        <v>6.0780287474332653</v>
      </c>
      <c r="BT49">
        <v>185</v>
      </c>
      <c r="BU49">
        <v>1</v>
      </c>
      <c r="BX49">
        <v>36113</v>
      </c>
      <c r="BY49">
        <v>6.0780287474332653</v>
      </c>
      <c r="BZ49">
        <v>185</v>
      </c>
      <c r="CA49">
        <v>1</v>
      </c>
      <c r="CC49">
        <v>6.0780287474332653</v>
      </c>
      <c r="CD49">
        <v>185</v>
      </c>
      <c r="CG49">
        <v>4</v>
      </c>
      <c r="CH49">
        <v>59</v>
      </c>
    </row>
    <row r="50" spans="3:86">
      <c r="C50">
        <v>7</v>
      </c>
      <c r="D50">
        <v>48</v>
      </c>
      <c r="E50">
        <v>8700</v>
      </c>
      <c r="H50" t="s">
        <v>121</v>
      </c>
      <c r="J50" s="202">
        <v>47.342915811088297</v>
      </c>
      <c r="K50">
        <v>1</v>
      </c>
      <c r="L50" t="s">
        <v>49</v>
      </c>
      <c r="M50" t="s">
        <v>122</v>
      </c>
      <c r="N50" t="s">
        <v>403</v>
      </c>
      <c r="O50">
        <v>0</v>
      </c>
      <c r="P50">
        <v>0</v>
      </c>
      <c r="Q50">
        <v>1</v>
      </c>
      <c r="R50">
        <v>0</v>
      </c>
      <c r="S50">
        <v>0</v>
      </c>
      <c r="T50" t="s">
        <v>475</v>
      </c>
      <c r="U50" t="s">
        <v>402</v>
      </c>
      <c r="V50">
        <v>1</v>
      </c>
      <c r="W50">
        <v>0</v>
      </c>
      <c r="X50">
        <v>0</v>
      </c>
      <c r="Y50">
        <v>0</v>
      </c>
      <c r="Z50">
        <v>0</v>
      </c>
      <c r="AA50">
        <v>0</v>
      </c>
      <c r="AD50">
        <v>11.761806981519507</v>
      </c>
      <c r="AE50">
        <v>0</v>
      </c>
      <c r="AF50">
        <v>0</v>
      </c>
      <c r="AG50" t="s">
        <v>387</v>
      </c>
      <c r="AH50">
        <v>1</v>
      </c>
      <c r="AI50" t="s">
        <v>327</v>
      </c>
      <c r="AK50">
        <v>11.203285420944558</v>
      </c>
      <c r="AL50">
        <v>0</v>
      </c>
      <c r="AM50">
        <v>22.965092402464066</v>
      </c>
      <c r="AN50" s="202">
        <v>2</v>
      </c>
      <c r="AO50">
        <v>0</v>
      </c>
      <c r="AR50">
        <v>1.8571428571428572</v>
      </c>
      <c r="AS50">
        <v>10</v>
      </c>
      <c r="AT50">
        <v>5</v>
      </c>
      <c r="AU50">
        <v>50</v>
      </c>
      <c r="AV50">
        <v>1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1</v>
      </c>
      <c r="BD50" s="202">
        <v>1</v>
      </c>
      <c r="BI50" t="s">
        <v>383</v>
      </c>
      <c r="BJ50" s="202">
        <v>16.131416837782339</v>
      </c>
      <c r="BK50" s="202">
        <v>490.99999999999994</v>
      </c>
      <c r="BL50">
        <v>0</v>
      </c>
      <c r="BO50">
        <v>16.131416837782339</v>
      </c>
      <c r="BP50">
        <v>490.99999999999994</v>
      </c>
      <c r="BX50" t="s">
        <v>400</v>
      </c>
      <c r="CA50">
        <v>0</v>
      </c>
      <c r="CC50">
        <v>0</v>
      </c>
      <c r="CD50">
        <v>0</v>
      </c>
      <c r="CG50">
        <v>1</v>
      </c>
      <c r="CH50">
        <v>2.37</v>
      </c>
    </row>
    <row r="51" spans="3:86">
      <c r="C51">
        <v>10</v>
      </c>
      <c r="D51">
        <v>49</v>
      </c>
      <c r="E51">
        <v>8700</v>
      </c>
      <c r="H51" t="s">
        <v>121</v>
      </c>
      <c r="J51" s="202">
        <v>66.387405886379199</v>
      </c>
      <c r="K51">
        <v>1</v>
      </c>
      <c r="L51" t="s">
        <v>49</v>
      </c>
      <c r="M51" t="s">
        <v>122</v>
      </c>
      <c r="N51" t="s">
        <v>403</v>
      </c>
      <c r="O51">
        <v>0</v>
      </c>
      <c r="P51">
        <v>0</v>
      </c>
      <c r="Q51">
        <v>1</v>
      </c>
      <c r="R51">
        <v>0</v>
      </c>
      <c r="S51">
        <v>0</v>
      </c>
      <c r="T51" t="s">
        <v>475</v>
      </c>
      <c r="U51" t="s">
        <v>402</v>
      </c>
      <c r="V51">
        <v>1</v>
      </c>
      <c r="W51">
        <v>0</v>
      </c>
      <c r="X51">
        <v>0</v>
      </c>
      <c r="Y51">
        <v>0</v>
      </c>
      <c r="Z51">
        <v>0</v>
      </c>
      <c r="AA51">
        <v>0</v>
      </c>
      <c r="AD51">
        <v>38.176591375770016</v>
      </c>
      <c r="AE51">
        <v>1</v>
      </c>
      <c r="AF51">
        <v>0</v>
      </c>
      <c r="AG51" t="s">
        <v>387</v>
      </c>
      <c r="AH51">
        <v>1</v>
      </c>
      <c r="AI51" t="s">
        <v>349</v>
      </c>
      <c r="AK51">
        <v>4.2053388090349078</v>
      </c>
      <c r="AL51">
        <v>0.1971252566735113</v>
      </c>
      <c r="AM51">
        <v>42.579055441478438</v>
      </c>
      <c r="AN51" s="202">
        <v>2</v>
      </c>
      <c r="AO51">
        <v>0</v>
      </c>
      <c r="AR51">
        <v>1.8571428571428572</v>
      </c>
      <c r="AS51">
        <v>10</v>
      </c>
      <c r="AT51">
        <v>3.5</v>
      </c>
      <c r="AU51">
        <v>35</v>
      </c>
      <c r="AV51">
        <v>0</v>
      </c>
      <c r="AW51">
        <v>1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1</v>
      </c>
      <c r="BD51" s="202">
        <v>1</v>
      </c>
      <c r="BJ51" s="202">
        <v>17.741273100616016</v>
      </c>
      <c r="BK51" s="202">
        <v>540</v>
      </c>
      <c r="BL51">
        <v>0</v>
      </c>
      <c r="BO51">
        <v>17.741273100616016</v>
      </c>
      <c r="BP51">
        <v>540</v>
      </c>
      <c r="BQ51">
        <v>1</v>
      </c>
      <c r="BS51">
        <v>2.6940451745379876</v>
      </c>
      <c r="BT51">
        <v>82</v>
      </c>
      <c r="BU51">
        <v>1</v>
      </c>
      <c r="BX51">
        <v>36571</v>
      </c>
      <c r="BY51">
        <v>2.6940451745379876</v>
      </c>
      <c r="BZ51">
        <v>82</v>
      </c>
      <c r="CA51">
        <v>1</v>
      </c>
      <c r="CC51">
        <v>2.6940451745379876</v>
      </c>
      <c r="CD51">
        <v>82</v>
      </c>
      <c r="CG51">
        <v>2</v>
      </c>
      <c r="CH51">
        <v>17.440000000000001</v>
      </c>
    </row>
    <row r="52" spans="3:86">
      <c r="C52">
        <v>11</v>
      </c>
      <c r="D52">
        <v>50</v>
      </c>
      <c r="E52">
        <v>8700</v>
      </c>
      <c r="H52" t="s">
        <v>121</v>
      </c>
      <c r="J52" s="202">
        <v>45.80698151950719</v>
      </c>
      <c r="K52">
        <v>1</v>
      </c>
      <c r="L52" t="s">
        <v>34</v>
      </c>
      <c r="M52" t="s">
        <v>122</v>
      </c>
      <c r="N52" t="s">
        <v>403</v>
      </c>
      <c r="O52">
        <v>0</v>
      </c>
      <c r="P52">
        <v>0</v>
      </c>
      <c r="Q52">
        <v>1</v>
      </c>
      <c r="R52">
        <v>0</v>
      </c>
      <c r="S52">
        <v>0</v>
      </c>
      <c r="T52" t="s">
        <v>475</v>
      </c>
      <c r="U52" t="s">
        <v>402</v>
      </c>
      <c r="V52">
        <v>1</v>
      </c>
      <c r="W52">
        <v>0</v>
      </c>
      <c r="X52">
        <v>0</v>
      </c>
      <c r="Y52">
        <v>0</v>
      </c>
      <c r="Z52">
        <v>0</v>
      </c>
      <c r="AA52">
        <v>0</v>
      </c>
      <c r="AD52">
        <v>74.349075975359341</v>
      </c>
      <c r="AE52">
        <v>0</v>
      </c>
      <c r="AF52">
        <v>0</v>
      </c>
      <c r="AG52" t="s">
        <v>387</v>
      </c>
      <c r="AH52">
        <v>1</v>
      </c>
      <c r="AI52" t="s">
        <v>481</v>
      </c>
      <c r="AK52">
        <v>19.022587268993838</v>
      </c>
      <c r="AL52">
        <v>0</v>
      </c>
      <c r="AM52">
        <v>93.371663244353186</v>
      </c>
      <c r="AN52" s="202">
        <v>1</v>
      </c>
      <c r="AO52">
        <v>1</v>
      </c>
      <c r="AR52">
        <v>2.1428571428571428</v>
      </c>
      <c r="AS52">
        <v>12</v>
      </c>
      <c r="AT52">
        <v>3.5</v>
      </c>
      <c r="AU52">
        <v>42</v>
      </c>
      <c r="AV52">
        <v>0</v>
      </c>
      <c r="AW52">
        <v>1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1</v>
      </c>
      <c r="BD52" s="202">
        <v>1</v>
      </c>
      <c r="BI52" t="s">
        <v>82</v>
      </c>
      <c r="BJ52" s="202">
        <v>31.441478439425051</v>
      </c>
      <c r="BK52" s="202">
        <v>957</v>
      </c>
      <c r="BL52">
        <v>1</v>
      </c>
      <c r="BN52">
        <v>9.593429158110883</v>
      </c>
      <c r="BO52">
        <v>10.480492813141684</v>
      </c>
      <c r="BP52">
        <v>319</v>
      </c>
      <c r="BQ52">
        <v>1</v>
      </c>
      <c r="BS52">
        <v>23.5564681724846</v>
      </c>
      <c r="BT52">
        <v>717</v>
      </c>
      <c r="BU52">
        <v>1</v>
      </c>
      <c r="BX52">
        <v>37256</v>
      </c>
      <c r="BY52">
        <v>23.5564681724846</v>
      </c>
      <c r="BZ52">
        <v>717</v>
      </c>
      <c r="CA52">
        <v>1</v>
      </c>
      <c r="CC52">
        <v>14.981519507186858</v>
      </c>
      <c r="CD52">
        <v>456</v>
      </c>
      <c r="CG52">
        <v>4</v>
      </c>
      <c r="CH52">
        <v>63.55</v>
      </c>
    </row>
    <row r="53" spans="3:86">
      <c r="C53">
        <v>12</v>
      </c>
      <c r="D53">
        <v>51</v>
      </c>
      <c r="E53">
        <v>8700</v>
      </c>
      <c r="H53" t="s">
        <v>121</v>
      </c>
      <c r="J53" s="202">
        <v>59.997262149212865</v>
      </c>
      <c r="K53">
        <v>1</v>
      </c>
      <c r="L53" t="s">
        <v>49</v>
      </c>
      <c r="M53" t="s">
        <v>122</v>
      </c>
      <c r="N53" t="s">
        <v>403</v>
      </c>
      <c r="O53">
        <v>0</v>
      </c>
      <c r="P53">
        <v>0</v>
      </c>
      <c r="Q53">
        <v>1</v>
      </c>
      <c r="R53">
        <v>0</v>
      </c>
      <c r="S53">
        <v>0</v>
      </c>
      <c r="T53" t="s">
        <v>475</v>
      </c>
      <c r="U53" t="s">
        <v>402</v>
      </c>
      <c r="V53">
        <v>1</v>
      </c>
      <c r="W53">
        <v>0</v>
      </c>
      <c r="X53">
        <v>0</v>
      </c>
      <c r="Y53">
        <v>0</v>
      </c>
      <c r="Z53">
        <v>0</v>
      </c>
      <c r="AA53">
        <v>0</v>
      </c>
      <c r="AD53">
        <v>91.761806981519499</v>
      </c>
      <c r="AE53">
        <v>0</v>
      </c>
      <c r="AF53">
        <v>0</v>
      </c>
      <c r="AG53" t="s">
        <v>387</v>
      </c>
      <c r="AH53">
        <v>1</v>
      </c>
      <c r="AI53" t="s">
        <v>271</v>
      </c>
      <c r="AK53">
        <v>6.6365503080082133</v>
      </c>
      <c r="AL53">
        <v>0</v>
      </c>
      <c r="AM53">
        <v>98.398357289527723</v>
      </c>
      <c r="AN53" s="202">
        <v>2</v>
      </c>
      <c r="AO53">
        <v>0</v>
      </c>
      <c r="AR53">
        <v>2</v>
      </c>
      <c r="AS53">
        <v>10</v>
      </c>
      <c r="AT53">
        <v>5</v>
      </c>
      <c r="AU53">
        <v>50</v>
      </c>
      <c r="AV53">
        <v>1</v>
      </c>
      <c r="AW53">
        <v>1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2</v>
      </c>
      <c r="BD53" s="202">
        <v>1</v>
      </c>
      <c r="BI53" t="s">
        <v>82</v>
      </c>
      <c r="BJ53" s="202">
        <v>30.390143737166326</v>
      </c>
      <c r="BK53" s="202">
        <v>925</v>
      </c>
      <c r="BL53">
        <v>1</v>
      </c>
      <c r="BN53">
        <v>12.451745379876797</v>
      </c>
      <c r="BO53">
        <v>13.86447638603696</v>
      </c>
      <c r="BP53">
        <v>422</v>
      </c>
      <c r="BQ53">
        <v>1</v>
      </c>
      <c r="BS53">
        <v>13.897330595482547</v>
      </c>
      <c r="BT53">
        <v>423</v>
      </c>
      <c r="BU53">
        <v>1</v>
      </c>
      <c r="BX53">
        <v>37072</v>
      </c>
      <c r="BY53">
        <v>13.897330595482547</v>
      </c>
      <c r="BZ53">
        <v>423</v>
      </c>
      <c r="CA53">
        <v>1</v>
      </c>
      <c r="CC53">
        <v>13.897330595482547</v>
      </c>
      <c r="CD53">
        <v>423</v>
      </c>
      <c r="CG53">
        <v>2</v>
      </c>
      <c r="CH53">
        <v>18.04</v>
      </c>
    </row>
    <row r="54" spans="3:86">
      <c r="C54">
        <v>17</v>
      </c>
      <c r="D54">
        <v>52</v>
      </c>
      <c r="E54">
        <v>8700</v>
      </c>
      <c r="H54" t="s">
        <v>121</v>
      </c>
      <c r="J54" s="202">
        <v>35.028062970568101</v>
      </c>
      <c r="K54">
        <v>1</v>
      </c>
      <c r="L54" t="s">
        <v>49</v>
      </c>
      <c r="M54" t="s">
        <v>122</v>
      </c>
      <c r="N54" t="s">
        <v>403</v>
      </c>
      <c r="O54">
        <v>0</v>
      </c>
      <c r="P54">
        <v>0</v>
      </c>
      <c r="Q54">
        <v>1</v>
      </c>
      <c r="R54">
        <v>0</v>
      </c>
      <c r="S54">
        <v>0</v>
      </c>
      <c r="T54" t="s">
        <v>475</v>
      </c>
      <c r="U54" t="s">
        <v>402</v>
      </c>
      <c r="V54">
        <v>1</v>
      </c>
      <c r="W54">
        <v>0</v>
      </c>
      <c r="X54">
        <v>0</v>
      </c>
      <c r="Y54">
        <v>0</v>
      </c>
      <c r="Z54">
        <v>0</v>
      </c>
      <c r="AA54">
        <v>0</v>
      </c>
      <c r="AD54">
        <v>0</v>
      </c>
      <c r="AE54">
        <v>1</v>
      </c>
      <c r="AF54">
        <v>0</v>
      </c>
      <c r="AG54" t="s">
        <v>389</v>
      </c>
      <c r="AH54">
        <v>1</v>
      </c>
      <c r="AI54" t="s">
        <v>201</v>
      </c>
      <c r="AK54">
        <v>0.4271047227926078</v>
      </c>
      <c r="AL54">
        <v>25.494866529774125</v>
      </c>
      <c r="AM54">
        <v>25.921971252566735</v>
      </c>
      <c r="AN54" s="202">
        <v>2</v>
      </c>
      <c r="AO54">
        <v>0</v>
      </c>
      <c r="AR54">
        <v>0</v>
      </c>
      <c r="AS54">
        <v>1</v>
      </c>
      <c r="AT54">
        <v>15</v>
      </c>
      <c r="AU54">
        <v>15</v>
      </c>
      <c r="AV54">
        <v>0</v>
      </c>
      <c r="AW54">
        <v>0</v>
      </c>
      <c r="AX54">
        <v>0</v>
      </c>
      <c r="AY54">
        <v>0</v>
      </c>
      <c r="AZ54">
        <v>1</v>
      </c>
      <c r="BA54">
        <v>0</v>
      </c>
      <c r="BB54">
        <v>0</v>
      </c>
      <c r="BC54">
        <v>1</v>
      </c>
      <c r="BD54" s="202">
        <v>1</v>
      </c>
      <c r="BI54" t="s">
        <v>82</v>
      </c>
      <c r="BJ54" s="202">
        <v>24.607802874743324</v>
      </c>
      <c r="BK54" s="202">
        <v>749</v>
      </c>
      <c r="BL54">
        <v>1</v>
      </c>
      <c r="BN54">
        <v>8.5092402464065717</v>
      </c>
      <c r="BO54">
        <v>8.9034907597535931</v>
      </c>
      <c r="BP54">
        <v>271</v>
      </c>
      <c r="BQ54">
        <v>0</v>
      </c>
      <c r="BS54">
        <v>24.607802874743324</v>
      </c>
      <c r="BT54">
        <v>749</v>
      </c>
      <c r="BU54">
        <v>1</v>
      </c>
      <c r="BX54">
        <v>37005</v>
      </c>
      <c r="BY54">
        <v>8.9034907597535931</v>
      </c>
      <c r="BZ54">
        <v>271</v>
      </c>
      <c r="CA54">
        <v>1</v>
      </c>
      <c r="CC54">
        <v>24.607802874743328</v>
      </c>
      <c r="CD54">
        <v>749</v>
      </c>
      <c r="CG54">
        <v>1</v>
      </c>
      <c r="CH54">
        <v>1.08</v>
      </c>
    </row>
    <row r="55" spans="3:86">
      <c r="C55">
        <v>23</v>
      </c>
      <c r="D55">
        <v>53</v>
      </c>
      <c r="E55">
        <v>8700</v>
      </c>
      <c r="H55" t="s">
        <v>121</v>
      </c>
      <c r="J55" s="202">
        <v>39.550992470910337</v>
      </c>
      <c r="K55">
        <v>1</v>
      </c>
      <c r="L55" t="s">
        <v>34</v>
      </c>
      <c r="M55" t="s">
        <v>122</v>
      </c>
      <c r="N55" t="s">
        <v>403</v>
      </c>
      <c r="O55">
        <v>0</v>
      </c>
      <c r="P55">
        <v>0</v>
      </c>
      <c r="Q55">
        <v>1</v>
      </c>
      <c r="R55">
        <v>0</v>
      </c>
      <c r="S55">
        <v>0</v>
      </c>
      <c r="T55" t="s">
        <v>475</v>
      </c>
      <c r="U55" t="s">
        <v>402</v>
      </c>
      <c r="V55">
        <v>1</v>
      </c>
      <c r="W55">
        <v>0</v>
      </c>
      <c r="X55">
        <v>0</v>
      </c>
      <c r="Y55">
        <v>0</v>
      </c>
      <c r="Z55">
        <v>0</v>
      </c>
      <c r="AA55">
        <v>0</v>
      </c>
      <c r="AD55">
        <v>11.498973305954825</v>
      </c>
      <c r="AE55">
        <v>0</v>
      </c>
      <c r="AF55">
        <v>0</v>
      </c>
      <c r="AG55" t="s">
        <v>387</v>
      </c>
      <c r="AH55">
        <v>1</v>
      </c>
      <c r="AI55" t="s">
        <v>315</v>
      </c>
      <c r="AK55">
        <v>10.841889117043122</v>
      </c>
      <c r="AL55">
        <v>0</v>
      </c>
      <c r="AM55">
        <v>22.340862422997947</v>
      </c>
      <c r="AN55" s="202">
        <v>3</v>
      </c>
      <c r="AO55">
        <v>0</v>
      </c>
      <c r="AR55">
        <v>2</v>
      </c>
      <c r="AS55">
        <v>10</v>
      </c>
      <c r="AT55">
        <v>3.5</v>
      </c>
      <c r="AU55">
        <v>35</v>
      </c>
      <c r="AV55">
        <v>0</v>
      </c>
      <c r="AW55">
        <v>0</v>
      </c>
      <c r="AX55">
        <v>1</v>
      </c>
      <c r="AY55">
        <v>0</v>
      </c>
      <c r="AZ55">
        <v>0</v>
      </c>
      <c r="BA55">
        <v>0</v>
      </c>
      <c r="BB55">
        <v>0</v>
      </c>
      <c r="BC55">
        <v>1</v>
      </c>
      <c r="BD55" s="202">
        <v>1</v>
      </c>
      <c r="BI55" t="s">
        <v>82</v>
      </c>
      <c r="BJ55" s="202">
        <v>11.794661190965092</v>
      </c>
      <c r="BK55" s="202">
        <v>359</v>
      </c>
      <c r="BL55">
        <v>1</v>
      </c>
      <c r="BN55">
        <v>6.8336755646817249</v>
      </c>
      <c r="BO55">
        <v>7.786447638603696</v>
      </c>
      <c r="BP55">
        <v>237</v>
      </c>
      <c r="BQ55">
        <v>1</v>
      </c>
      <c r="BS55">
        <v>6.3408624229979464</v>
      </c>
      <c r="BT55">
        <v>193</v>
      </c>
      <c r="BU55">
        <v>1</v>
      </c>
      <c r="BX55">
        <v>37418</v>
      </c>
      <c r="BY55">
        <v>6.3408624229979464</v>
      </c>
      <c r="BZ55">
        <v>193</v>
      </c>
      <c r="CA55">
        <v>1</v>
      </c>
      <c r="CC55">
        <v>6.3408624229979464</v>
      </c>
      <c r="CD55">
        <v>193</v>
      </c>
      <c r="CG55">
        <v>5</v>
      </c>
      <c r="CH55">
        <v>245.88</v>
      </c>
    </row>
    <row r="56" spans="3:86">
      <c r="C56">
        <v>1</v>
      </c>
      <c r="D56">
        <v>54</v>
      </c>
      <c r="E56">
        <v>9700</v>
      </c>
      <c r="H56" t="s">
        <v>121</v>
      </c>
      <c r="J56" s="202">
        <v>63.802874743326491</v>
      </c>
      <c r="K56">
        <v>0</v>
      </c>
      <c r="L56" t="s">
        <v>49</v>
      </c>
      <c r="M56" t="s">
        <v>327</v>
      </c>
      <c r="N56" t="s">
        <v>510</v>
      </c>
      <c r="O56">
        <v>0</v>
      </c>
      <c r="P56">
        <v>1</v>
      </c>
      <c r="Q56">
        <v>0</v>
      </c>
      <c r="R56">
        <v>0</v>
      </c>
      <c r="S56">
        <v>0</v>
      </c>
      <c r="T56" t="s">
        <v>361</v>
      </c>
      <c r="U56" t="s">
        <v>402</v>
      </c>
      <c r="V56">
        <v>1</v>
      </c>
      <c r="W56">
        <v>0</v>
      </c>
      <c r="X56">
        <v>0</v>
      </c>
      <c r="Y56">
        <v>0</v>
      </c>
      <c r="Z56">
        <v>0</v>
      </c>
      <c r="AA56">
        <v>0</v>
      </c>
      <c r="AD56">
        <v>0</v>
      </c>
      <c r="AE56">
        <v>0</v>
      </c>
      <c r="AF56">
        <v>0</v>
      </c>
      <c r="AG56" t="s">
        <v>389</v>
      </c>
      <c r="AH56">
        <v>1</v>
      </c>
      <c r="AI56" t="s">
        <v>315</v>
      </c>
      <c r="AK56">
        <v>9.593429158110883</v>
      </c>
      <c r="AL56">
        <v>0</v>
      </c>
      <c r="AM56">
        <v>9.593429158110883</v>
      </c>
      <c r="AN56" s="202">
        <v>1</v>
      </c>
      <c r="AO56">
        <v>1</v>
      </c>
      <c r="AR56">
        <v>3.2857142857142856</v>
      </c>
      <c r="AS56">
        <v>18</v>
      </c>
      <c r="AT56">
        <v>2.75</v>
      </c>
      <c r="AU56">
        <v>49.5</v>
      </c>
      <c r="AV56">
        <v>0</v>
      </c>
      <c r="AW56">
        <v>0</v>
      </c>
      <c r="AX56">
        <v>1</v>
      </c>
      <c r="AY56">
        <v>0</v>
      </c>
      <c r="AZ56">
        <v>0</v>
      </c>
      <c r="BA56">
        <v>0</v>
      </c>
      <c r="BB56">
        <v>0</v>
      </c>
      <c r="BC56">
        <v>1</v>
      </c>
      <c r="BD56" s="202">
        <v>1</v>
      </c>
      <c r="BI56" t="s">
        <v>82</v>
      </c>
      <c r="BJ56" s="202">
        <v>9.1991786447638599</v>
      </c>
      <c r="BK56" s="202">
        <v>280</v>
      </c>
      <c r="BL56">
        <v>1</v>
      </c>
      <c r="BN56">
        <v>4.5010266940451746</v>
      </c>
      <c r="BO56">
        <v>6.406570841889117</v>
      </c>
      <c r="BP56">
        <v>195</v>
      </c>
      <c r="BQ56">
        <v>1</v>
      </c>
      <c r="BS56">
        <v>6.406570841889117</v>
      </c>
      <c r="BT56">
        <v>195</v>
      </c>
      <c r="BU56">
        <v>1</v>
      </c>
      <c r="BX56">
        <v>35795</v>
      </c>
      <c r="BY56">
        <v>6.406570841889117</v>
      </c>
      <c r="BZ56">
        <v>195</v>
      </c>
      <c r="CA56">
        <v>1</v>
      </c>
      <c r="CC56">
        <v>6.406570841889117</v>
      </c>
      <c r="CD56">
        <v>195</v>
      </c>
      <c r="CE56" t="s">
        <v>38</v>
      </c>
      <c r="CF56" t="s">
        <v>38</v>
      </c>
      <c r="CG56">
        <v>5</v>
      </c>
      <c r="CH56">
        <v>422.4</v>
      </c>
    </row>
    <row r="57" spans="3:86">
      <c r="C57">
        <v>2</v>
      </c>
      <c r="D57">
        <v>55</v>
      </c>
      <c r="E57">
        <v>9700</v>
      </c>
      <c r="H57" t="s">
        <v>121</v>
      </c>
      <c r="J57" s="202">
        <v>60.120465434633815</v>
      </c>
      <c r="K57">
        <v>0</v>
      </c>
      <c r="L57" t="s">
        <v>49</v>
      </c>
      <c r="M57" t="s">
        <v>64</v>
      </c>
      <c r="N57" t="s">
        <v>107</v>
      </c>
      <c r="O57">
        <v>1</v>
      </c>
      <c r="P57">
        <v>0</v>
      </c>
      <c r="Q57">
        <v>0</v>
      </c>
      <c r="R57">
        <v>0</v>
      </c>
      <c r="S57">
        <v>0</v>
      </c>
      <c r="T57" t="s">
        <v>155</v>
      </c>
      <c r="U57" t="s">
        <v>402</v>
      </c>
      <c r="V57">
        <v>1</v>
      </c>
      <c r="W57">
        <v>0</v>
      </c>
      <c r="X57">
        <v>0</v>
      </c>
      <c r="Y57">
        <v>0</v>
      </c>
      <c r="Z57">
        <v>0</v>
      </c>
      <c r="AA57">
        <v>0</v>
      </c>
      <c r="AD57">
        <v>9.7248459958932241</v>
      </c>
      <c r="AE57">
        <v>0</v>
      </c>
      <c r="AF57">
        <v>0</v>
      </c>
      <c r="AG57" t="s">
        <v>387</v>
      </c>
      <c r="AH57">
        <v>1</v>
      </c>
      <c r="AI57" t="s">
        <v>315</v>
      </c>
      <c r="AK57">
        <v>26.874743326488705</v>
      </c>
      <c r="AL57">
        <v>0</v>
      </c>
      <c r="AM57">
        <v>36.599589322381931</v>
      </c>
      <c r="AN57" s="202">
        <v>3</v>
      </c>
      <c r="AO57">
        <v>0</v>
      </c>
      <c r="AR57">
        <v>1.8571428571428572</v>
      </c>
      <c r="AS57">
        <v>10</v>
      </c>
      <c r="AT57">
        <v>4.5</v>
      </c>
      <c r="AU57">
        <v>45</v>
      </c>
      <c r="AV57">
        <v>0</v>
      </c>
      <c r="AW57">
        <v>0</v>
      </c>
      <c r="AX57">
        <v>1</v>
      </c>
      <c r="AY57">
        <v>0</v>
      </c>
      <c r="AZ57">
        <v>0</v>
      </c>
      <c r="BA57">
        <v>0</v>
      </c>
      <c r="BB57">
        <v>0</v>
      </c>
      <c r="BC57">
        <v>1</v>
      </c>
      <c r="BD57" s="202">
        <v>1</v>
      </c>
      <c r="BI57" t="s">
        <v>82</v>
      </c>
      <c r="BJ57" s="202">
        <v>22.800821355236142</v>
      </c>
      <c r="BK57" s="202">
        <v>694</v>
      </c>
      <c r="BL57">
        <v>1</v>
      </c>
      <c r="BN57">
        <v>12.451745379876797</v>
      </c>
      <c r="BO57">
        <v>13.305954825462011</v>
      </c>
      <c r="BP57">
        <v>405</v>
      </c>
      <c r="BQ57">
        <v>1</v>
      </c>
      <c r="BS57">
        <v>13.305954825462011</v>
      </c>
      <c r="BT57">
        <v>405</v>
      </c>
      <c r="BU57">
        <v>2</v>
      </c>
      <c r="BX57">
        <v>36042</v>
      </c>
      <c r="BY57">
        <v>13.305954825462011</v>
      </c>
      <c r="BZ57">
        <v>405</v>
      </c>
      <c r="CA57">
        <v>2</v>
      </c>
      <c r="CC57">
        <v>13.305954825462011</v>
      </c>
      <c r="CD57">
        <v>405</v>
      </c>
      <c r="CE57">
        <v>0</v>
      </c>
      <c r="CF57">
        <v>0</v>
      </c>
      <c r="CG57">
        <v>4</v>
      </c>
      <c r="CH57">
        <v>55.71</v>
      </c>
    </row>
    <row r="58" spans="3:86">
      <c r="C58">
        <v>3</v>
      </c>
      <c r="D58">
        <v>56</v>
      </c>
      <c r="E58">
        <v>9700</v>
      </c>
      <c r="H58" t="s">
        <v>121</v>
      </c>
      <c r="J58" s="202">
        <v>66.083504449007535</v>
      </c>
      <c r="K58">
        <v>0</v>
      </c>
      <c r="L58" t="s">
        <v>68</v>
      </c>
      <c r="M58" t="s">
        <v>167</v>
      </c>
      <c r="N58" t="s">
        <v>510</v>
      </c>
      <c r="O58">
        <v>0</v>
      </c>
      <c r="P58">
        <v>1</v>
      </c>
      <c r="Q58">
        <v>0</v>
      </c>
      <c r="R58">
        <v>0</v>
      </c>
      <c r="S58">
        <v>0</v>
      </c>
      <c r="T58" t="s">
        <v>155</v>
      </c>
      <c r="U58" t="s">
        <v>402</v>
      </c>
      <c r="V58">
        <v>1</v>
      </c>
      <c r="W58">
        <v>0</v>
      </c>
      <c r="X58">
        <v>0</v>
      </c>
      <c r="Y58">
        <v>0</v>
      </c>
      <c r="Z58">
        <v>0</v>
      </c>
      <c r="AA58">
        <v>0</v>
      </c>
      <c r="AD58">
        <v>9.2320328542094465</v>
      </c>
      <c r="AE58">
        <v>0</v>
      </c>
      <c r="AF58">
        <v>0</v>
      </c>
      <c r="AG58" t="s">
        <v>388</v>
      </c>
      <c r="AH58">
        <v>0</v>
      </c>
      <c r="AI58" t="s">
        <v>315</v>
      </c>
      <c r="AK58">
        <v>3.3839835728952772</v>
      </c>
      <c r="AL58">
        <v>0</v>
      </c>
      <c r="AM58">
        <v>12.616016427104723</v>
      </c>
      <c r="AN58" s="202">
        <v>1</v>
      </c>
      <c r="AO58">
        <v>1</v>
      </c>
      <c r="AR58">
        <v>2.4285714285714284</v>
      </c>
      <c r="AS58">
        <v>14</v>
      </c>
      <c r="AT58">
        <v>3.6</v>
      </c>
      <c r="AU58">
        <v>50.4</v>
      </c>
      <c r="AV58">
        <v>0</v>
      </c>
      <c r="AW58">
        <v>0</v>
      </c>
      <c r="AX58">
        <v>1</v>
      </c>
      <c r="AY58">
        <v>0</v>
      </c>
      <c r="AZ58">
        <v>0</v>
      </c>
      <c r="BA58">
        <v>0</v>
      </c>
      <c r="BB58">
        <v>0</v>
      </c>
      <c r="BC58">
        <v>1</v>
      </c>
      <c r="BD58" s="202">
        <v>1</v>
      </c>
      <c r="BI58" t="s">
        <v>82</v>
      </c>
      <c r="BJ58" s="202">
        <v>38.078028747433265</v>
      </c>
      <c r="BK58" s="202">
        <v>1159</v>
      </c>
      <c r="BL58">
        <v>1</v>
      </c>
      <c r="BN58">
        <v>27.926078028747433</v>
      </c>
      <c r="BO58">
        <v>29.108829568788501</v>
      </c>
      <c r="BP58">
        <v>886</v>
      </c>
      <c r="BQ58">
        <v>1</v>
      </c>
      <c r="BS58">
        <v>33.642710472279262</v>
      </c>
      <c r="BT58">
        <v>1024</v>
      </c>
      <c r="BU58">
        <v>1</v>
      </c>
      <c r="BX58">
        <v>36557</v>
      </c>
      <c r="BY58">
        <v>29.141683778234086</v>
      </c>
      <c r="BZ58">
        <v>887</v>
      </c>
      <c r="CA58">
        <v>1</v>
      </c>
      <c r="CC58">
        <v>33.642710472279262</v>
      </c>
      <c r="CD58">
        <v>1024</v>
      </c>
      <c r="CE58" t="s">
        <v>22</v>
      </c>
      <c r="CF58" t="s">
        <v>154</v>
      </c>
      <c r="CG58">
        <v>3</v>
      </c>
      <c r="CH58">
        <v>24.24</v>
      </c>
    </row>
    <row r="59" spans="3:86">
      <c r="C59">
        <v>4</v>
      </c>
      <c r="D59">
        <v>57</v>
      </c>
      <c r="E59">
        <v>9700</v>
      </c>
      <c r="H59" t="s">
        <v>121</v>
      </c>
      <c r="J59" s="202">
        <v>74.628336755646814</v>
      </c>
      <c r="K59">
        <v>0</v>
      </c>
      <c r="L59" t="s">
        <v>49</v>
      </c>
      <c r="M59" t="s">
        <v>64</v>
      </c>
      <c r="N59" t="s">
        <v>107</v>
      </c>
      <c r="O59">
        <v>1</v>
      </c>
      <c r="P59">
        <v>0</v>
      </c>
      <c r="Q59">
        <v>0</v>
      </c>
      <c r="R59">
        <v>0</v>
      </c>
      <c r="S59">
        <v>0</v>
      </c>
      <c r="T59" t="s">
        <v>155</v>
      </c>
      <c r="U59" t="s">
        <v>402</v>
      </c>
      <c r="V59">
        <v>1</v>
      </c>
      <c r="W59">
        <v>0</v>
      </c>
      <c r="X59">
        <v>0</v>
      </c>
      <c r="Y59">
        <v>0</v>
      </c>
      <c r="Z59">
        <v>0</v>
      </c>
      <c r="AA59">
        <v>0</v>
      </c>
      <c r="AD59">
        <v>0</v>
      </c>
      <c r="AE59">
        <v>0</v>
      </c>
      <c r="AF59">
        <v>1</v>
      </c>
      <c r="AG59" t="s">
        <v>389</v>
      </c>
      <c r="AH59">
        <v>1</v>
      </c>
      <c r="AI59" t="s">
        <v>315</v>
      </c>
      <c r="AK59">
        <v>22.340862422997947</v>
      </c>
      <c r="AL59">
        <v>0</v>
      </c>
      <c r="AM59">
        <v>22.340862422997947</v>
      </c>
      <c r="AN59" s="202">
        <v>3</v>
      </c>
      <c r="AO59">
        <v>0</v>
      </c>
      <c r="AR59">
        <v>3.7142857142857144</v>
      </c>
      <c r="AS59">
        <v>18</v>
      </c>
      <c r="AT59">
        <v>2.5</v>
      </c>
      <c r="AU59">
        <v>45</v>
      </c>
      <c r="AV59">
        <v>0</v>
      </c>
      <c r="AW59">
        <v>0</v>
      </c>
      <c r="AX59">
        <v>1</v>
      </c>
      <c r="AY59">
        <v>0</v>
      </c>
      <c r="AZ59">
        <v>0</v>
      </c>
      <c r="BA59">
        <v>0</v>
      </c>
      <c r="BB59">
        <v>0</v>
      </c>
      <c r="BC59">
        <v>1</v>
      </c>
      <c r="BD59" s="202">
        <v>1</v>
      </c>
      <c r="BI59" t="s">
        <v>82</v>
      </c>
      <c r="BJ59" s="202">
        <v>8.772073921971252</v>
      </c>
      <c r="BK59" s="202">
        <v>267</v>
      </c>
      <c r="BL59">
        <v>1</v>
      </c>
      <c r="BN59">
        <v>2.9897330595482545</v>
      </c>
      <c r="BO59">
        <v>4.5338809034907595</v>
      </c>
      <c r="BP59">
        <v>138</v>
      </c>
      <c r="BQ59">
        <v>1</v>
      </c>
      <c r="BS59">
        <v>5.6509240246406574</v>
      </c>
      <c r="BT59">
        <v>172</v>
      </c>
      <c r="BU59">
        <v>1</v>
      </c>
      <c r="BX59">
        <v>35851</v>
      </c>
      <c r="BY59">
        <v>4.5338809034907595</v>
      </c>
      <c r="BZ59">
        <v>138</v>
      </c>
      <c r="CA59">
        <v>1</v>
      </c>
      <c r="CC59">
        <v>5.6509240246406574</v>
      </c>
      <c r="CD59">
        <v>172</v>
      </c>
      <c r="CE59">
        <v>0</v>
      </c>
      <c r="CF59">
        <v>0</v>
      </c>
      <c r="CG59">
        <v>5</v>
      </c>
      <c r="CH59">
        <v>145.80000000000001</v>
      </c>
    </row>
    <row r="60" spans="3:86">
      <c r="C60">
        <v>6</v>
      </c>
      <c r="D60">
        <v>58</v>
      </c>
      <c r="E60">
        <v>9700</v>
      </c>
      <c r="H60" t="s">
        <v>121</v>
      </c>
      <c r="J60" s="202">
        <v>47.668720054757017</v>
      </c>
      <c r="K60">
        <v>1</v>
      </c>
      <c r="L60" t="s">
        <v>49</v>
      </c>
      <c r="M60" t="s">
        <v>64</v>
      </c>
      <c r="N60" t="s">
        <v>107</v>
      </c>
      <c r="O60">
        <v>1</v>
      </c>
      <c r="P60">
        <v>0</v>
      </c>
      <c r="Q60">
        <v>0</v>
      </c>
      <c r="R60">
        <v>0</v>
      </c>
      <c r="S60">
        <v>0</v>
      </c>
      <c r="T60" t="s">
        <v>155</v>
      </c>
      <c r="U60" t="s">
        <v>402</v>
      </c>
      <c r="V60">
        <v>1</v>
      </c>
      <c r="W60">
        <v>0</v>
      </c>
      <c r="X60">
        <v>0</v>
      </c>
      <c r="Y60">
        <v>0</v>
      </c>
      <c r="Z60">
        <v>0</v>
      </c>
      <c r="AA60">
        <v>0</v>
      </c>
      <c r="AD60">
        <v>0</v>
      </c>
      <c r="AE60">
        <v>1</v>
      </c>
      <c r="AF60">
        <v>1</v>
      </c>
      <c r="AG60" t="s">
        <v>389</v>
      </c>
      <c r="AH60">
        <v>1</v>
      </c>
      <c r="AI60" t="s">
        <v>315</v>
      </c>
      <c r="AK60">
        <v>3.7453798767967146</v>
      </c>
      <c r="AL60">
        <v>7.5236139630390149</v>
      </c>
      <c r="AM60">
        <v>11.268993839835728</v>
      </c>
      <c r="AN60" s="202">
        <v>1</v>
      </c>
      <c r="AO60">
        <v>1</v>
      </c>
      <c r="AR60">
        <v>3</v>
      </c>
      <c r="AS60">
        <v>16</v>
      </c>
      <c r="AT60">
        <v>3</v>
      </c>
      <c r="AU60">
        <v>48</v>
      </c>
      <c r="AV60">
        <v>0</v>
      </c>
      <c r="AW60">
        <v>0</v>
      </c>
      <c r="AX60">
        <v>1</v>
      </c>
      <c r="AY60">
        <v>0</v>
      </c>
      <c r="AZ60">
        <v>0</v>
      </c>
      <c r="BA60">
        <v>0</v>
      </c>
      <c r="BB60">
        <v>0</v>
      </c>
      <c r="BC60">
        <v>1</v>
      </c>
      <c r="BD60" s="202">
        <v>1</v>
      </c>
      <c r="BI60" t="s">
        <v>290</v>
      </c>
      <c r="BJ60" s="202">
        <v>6.7022587268993838</v>
      </c>
      <c r="BK60" s="202">
        <v>204</v>
      </c>
      <c r="BL60">
        <v>1</v>
      </c>
      <c r="BN60">
        <v>1.9055441478439425</v>
      </c>
      <c r="BO60">
        <v>4.2381930184804926</v>
      </c>
      <c r="BP60">
        <v>129</v>
      </c>
      <c r="BQ60">
        <v>1</v>
      </c>
      <c r="BS60">
        <v>4.2381930184804926</v>
      </c>
      <c r="BT60">
        <v>129</v>
      </c>
      <c r="BU60">
        <v>1</v>
      </c>
      <c r="BX60">
        <v>35876</v>
      </c>
      <c r="BY60">
        <v>4.2381930184804926</v>
      </c>
      <c r="BZ60">
        <v>129</v>
      </c>
      <c r="CA60">
        <v>1</v>
      </c>
      <c r="CC60">
        <v>4.2381930184804926</v>
      </c>
      <c r="CD60">
        <v>129</v>
      </c>
      <c r="CE60" t="s">
        <v>38</v>
      </c>
      <c r="CF60" t="s">
        <v>38</v>
      </c>
      <c r="CG60">
        <v>5</v>
      </c>
      <c r="CH60">
        <v>240</v>
      </c>
    </row>
    <row r="61" spans="3:86">
      <c r="C61">
        <v>8</v>
      </c>
      <c r="D61">
        <v>59</v>
      </c>
      <c r="E61">
        <v>9700</v>
      </c>
      <c r="H61" t="s">
        <v>121</v>
      </c>
      <c r="J61" s="202">
        <v>49.13620807665982</v>
      </c>
      <c r="K61">
        <v>1</v>
      </c>
      <c r="L61" t="s">
        <v>49</v>
      </c>
      <c r="M61" t="s">
        <v>64</v>
      </c>
      <c r="N61" t="s">
        <v>107</v>
      </c>
      <c r="O61">
        <v>1</v>
      </c>
      <c r="P61">
        <v>0</v>
      </c>
      <c r="Q61">
        <v>0</v>
      </c>
      <c r="R61">
        <v>0</v>
      </c>
      <c r="S61">
        <v>0</v>
      </c>
      <c r="T61" t="s">
        <v>155</v>
      </c>
      <c r="U61" t="s">
        <v>402</v>
      </c>
      <c r="V61">
        <v>1</v>
      </c>
      <c r="W61">
        <v>0</v>
      </c>
      <c r="X61">
        <v>0</v>
      </c>
      <c r="Y61">
        <v>0</v>
      </c>
      <c r="Z61">
        <v>0</v>
      </c>
      <c r="AA61">
        <v>0</v>
      </c>
      <c r="AD61">
        <v>21.420944558521562</v>
      </c>
      <c r="AE61">
        <v>1</v>
      </c>
      <c r="AF61">
        <v>1</v>
      </c>
      <c r="AG61" t="s">
        <v>387</v>
      </c>
      <c r="AH61">
        <v>1</v>
      </c>
      <c r="AI61" t="s">
        <v>315</v>
      </c>
      <c r="AK61">
        <v>29.700205338809035</v>
      </c>
      <c r="AL61">
        <v>2.5626283367556466</v>
      </c>
      <c r="AM61">
        <v>53.68377823408624</v>
      </c>
      <c r="AN61" s="202">
        <v>5</v>
      </c>
      <c r="AO61">
        <v>0</v>
      </c>
      <c r="AR61">
        <v>3.1428571428571428</v>
      </c>
      <c r="AS61">
        <v>10</v>
      </c>
      <c r="AT61">
        <v>5</v>
      </c>
      <c r="AU61">
        <v>50</v>
      </c>
      <c r="AV61">
        <v>0</v>
      </c>
      <c r="AW61">
        <v>0</v>
      </c>
      <c r="AX61">
        <v>1</v>
      </c>
      <c r="AY61">
        <v>0</v>
      </c>
      <c r="AZ61">
        <v>0</v>
      </c>
      <c r="BA61">
        <v>0</v>
      </c>
      <c r="BB61">
        <v>0</v>
      </c>
      <c r="BC61">
        <v>1</v>
      </c>
      <c r="BD61" s="202">
        <v>1</v>
      </c>
      <c r="BI61" t="s">
        <v>290</v>
      </c>
      <c r="BJ61" s="202">
        <v>14.127310061601644</v>
      </c>
      <c r="BK61" s="202">
        <v>430.00000000000006</v>
      </c>
      <c r="BL61">
        <v>0</v>
      </c>
      <c r="BO61">
        <v>14.127310061601644</v>
      </c>
      <c r="BP61">
        <v>430.00000000000006</v>
      </c>
      <c r="BQ61">
        <v>1</v>
      </c>
      <c r="BS61">
        <v>9.9219712525667347</v>
      </c>
      <c r="BT61">
        <v>302</v>
      </c>
      <c r="BU61">
        <v>1</v>
      </c>
      <c r="BX61">
        <v>36117</v>
      </c>
      <c r="BY61">
        <v>9.9219712525667347</v>
      </c>
      <c r="BZ61">
        <v>302</v>
      </c>
      <c r="CA61">
        <v>1</v>
      </c>
      <c r="CC61">
        <v>9.9219712525667347</v>
      </c>
      <c r="CD61">
        <v>302</v>
      </c>
      <c r="CE61" t="s">
        <v>38</v>
      </c>
      <c r="CF61" t="s">
        <v>38</v>
      </c>
      <c r="CG61">
        <v>2</v>
      </c>
      <c r="CH61">
        <v>16.490000000000002</v>
      </c>
    </row>
    <row r="62" spans="3:86">
      <c r="C62">
        <v>9</v>
      </c>
      <c r="D62">
        <v>60</v>
      </c>
      <c r="E62">
        <v>9700</v>
      </c>
      <c r="H62" t="s">
        <v>121</v>
      </c>
      <c r="J62" s="202">
        <v>48.695414099931554</v>
      </c>
      <c r="K62">
        <v>1</v>
      </c>
      <c r="L62" t="s">
        <v>49</v>
      </c>
      <c r="M62" t="s">
        <v>64</v>
      </c>
      <c r="N62" t="s">
        <v>107</v>
      </c>
      <c r="O62">
        <v>1</v>
      </c>
      <c r="P62">
        <v>0</v>
      </c>
      <c r="Q62">
        <v>0</v>
      </c>
      <c r="R62">
        <v>0</v>
      </c>
      <c r="S62">
        <v>0</v>
      </c>
      <c r="T62" t="s">
        <v>155</v>
      </c>
      <c r="U62" t="s">
        <v>402</v>
      </c>
      <c r="V62">
        <v>1</v>
      </c>
      <c r="W62">
        <v>0</v>
      </c>
      <c r="X62">
        <v>0</v>
      </c>
      <c r="Y62">
        <v>0</v>
      </c>
      <c r="Z62">
        <v>0</v>
      </c>
      <c r="AA62">
        <v>0</v>
      </c>
      <c r="AD62">
        <v>0</v>
      </c>
      <c r="AE62">
        <v>0</v>
      </c>
      <c r="AF62">
        <v>1</v>
      </c>
      <c r="AG62" t="s">
        <v>389</v>
      </c>
      <c r="AH62">
        <v>1</v>
      </c>
      <c r="AI62" t="s">
        <v>315</v>
      </c>
      <c r="AK62">
        <v>11.728952772073923</v>
      </c>
      <c r="AL62">
        <v>0</v>
      </c>
      <c r="AM62">
        <v>11.728952772073923</v>
      </c>
      <c r="AN62" s="202">
        <v>4</v>
      </c>
      <c r="AO62">
        <v>0</v>
      </c>
      <c r="AR62">
        <v>1.8571428571428572</v>
      </c>
      <c r="AS62">
        <v>10</v>
      </c>
      <c r="AT62">
        <v>5</v>
      </c>
      <c r="AU62">
        <v>50</v>
      </c>
      <c r="AV62">
        <v>0</v>
      </c>
      <c r="AW62">
        <v>0</v>
      </c>
      <c r="AX62">
        <v>1</v>
      </c>
      <c r="AY62">
        <v>0</v>
      </c>
      <c r="AZ62">
        <v>0</v>
      </c>
      <c r="BA62">
        <v>0</v>
      </c>
      <c r="BB62">
        <v>0</v>
      </c>
      <c r="BC62">
        <v>1</v>
      </c>
      <c r="BD62" s="202">
        <v>1</v>
      </c>
      <c r="BI62" t="s">
        <v>290</v>
      </c>
      <c r="BJ62" s="202">
        <v>15.770020533880903</v>
      </c>
      <c r="BK62" s="202">
        <v>480</v>
      </c>
      <c r="BL62">
        <v>1</v>
      </c>
      <c r="BN62">
        <v>8.1149897330595486</v>
      </c>
      <c r="BO62">
        <v>9.6591375770020527</v>
      </c>
      <c r="BP62">
        <v>293.99999999999994</v>
      </c>
      <c r="BQ62">
        <v>0</v>
      </c>
      <c r="BS62">
        <v>15.770020533880903</v>
      </c>
      <c r="BT62">
        <v>480</v>
      </c>
      <c r="BU62">
        <v>1</v>
      </c>
      <c r="BX62">
        <v>36160</v>
      </c>
      <c r="BY62">
        <v>9.6591375770020527</v>
      </c>
      <c r="BZ62">
        <v>293.99999999999994</v>
      </c>
      <c r="CA62">
        <v>0</v>
      </c>
      <c r="CC62">
        <v>15.770020533880903</v>
      </c>
      <c r="CD62">
        <v>480</v>
      </c>
      <c r="CE62" t="s">
        <v>38</v>
      </c>
      <c r="CF62" t="s">
        <v>38</v>
      </c>
      <c r="CG62">
        <v>3</v>
      </c>
      <c r="CH62">
        <v>36.44</v>
      </c>
    </row>
    <row r="63" spans="3:86">
      <c r="C63">
        <v>12</v>
      </c>
      <c r="D63">
        <v>61</v>
      </c>
      <c r="E63">
        <v>9700</v>
      </c>
      <c r="H63" t="s">
        <v>121</v>
      </c>
      <c r="J63" s="202">
        <v>43.600273785078713</v>
      </c>
      <c r="K63">
        <v>1</v>
      </c>
      <c r="L63" t="s">
        <v>49</v>
      </c>
      <c r="M63" t="s">
        <v>64</v>
      </c>
      <c r="N63" t="s">
        <v>107</v>
      </c>
      <c r="O63">
        <v>1</v>
      </c>
      <c r="P63">
        <v>0</v>
      </c>
      <c r="Q63">
        <v>0</v>
      </c>
      <c r="R63">
        <v>0</v>
      </c>
      <c r="S63">
        <v>0</v>
      </c>
      <c r="T63" t="s">
        <v>155</v>
      </c>
      <c r="U63" t="s">
        <v>402</v>
      </c>
      <c r="V63">
        <v>1</v>
      </c>
      <c r="W63">
        <v>0</v>
      </c>
      <c r="X63">
        <v>0</v>
      </c>
      <c r="Y63">
        <v>0</v>
      </c>
      <c r="Z63">
        <v>0</v>
      </c>
      <c r="AA63">
        <v>0</v>
      </c>
      <c r="AD63">
        <v>14.55441478439425</v>
      </c>
      <c r="AE63">
        <v>1</v>
      </c>
      <c r="AF63">
        <v>0</v>
      </c>
      <c r="AG63" t="s">
        <v>387</v>
      </c>
      <c r="AH63">
        <v>1</v>
      </c>
      <c r="AI63" t="s">
        <v>208</v>
      </c>
      <c r="AK63">
        <v>0.65708418891170428</v>
      </c>
      <c r="AL63">
        <v>5.3552361396303905</v>
      </c>
      <c r="AM63">
        <v>20.566735112936346</v>
      </c>
      <c r="AN63" s="202">
        <v>3</v>
      </c>
      <c r="AO63">
        <v>0</v>
      </c>
      <c r="AR63">
        <v>5.2857142857142856</v>
      </c>
      <c r="AS63">
        <v>21</v>
      </c>
      <c r="AT63">
        <v>2.5</v>
      </c>
      <c r="AU63">
        <v>52.5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1</v>
      </c>
      <c r="BC63">
        <v>1</v>
      </c>
      <c r="BD63" s="202">
        <v>1</v>
      </c>
      <c r="BI63" t="s">
        <v>82</v>
      </c>
      <c r="BJ63" s="202">
        <v>27.728952772073924</v>
      </c>
      <c r="BK63" s="202">
        <v>844</v>
      </c>
      <c r="BL63">
        <v>0</v>
      </c>
      <c r="BO63">
        <v>27.728952772073924</v>
      </c>
      <c r="BP63">
        <v>844</v>
      </c>
      <c r="BQ63">
        <v>1</v>
      </c>
      <c r="BS63">
        <v>21.223819301848049</v>
      </c>
      <c r="BT63">
        <v>646</v>
      </c>
      <c r="BU63">
        <v>1</v>
      </c>
      <c r="BX63">
        <v>36532</v>
      </c>
      <c r="BY63">
        <v>21.223819301848049</v>
      </c>
      <c r="BZ63">
        <v>646</v>
      </c>
      <c r="CA63">
        <v>1</v>
      </c>
      <c r="CC63">
        <v>21.223819301848049</v>
      </c>
      <c r="CD63">
        <v>646</v>
      </c>
      <c r="CE63" t="s">
        <v>22</v>
      </c>
      <c r="CF63" t="s">
        <v>280</v>
      </c>
      <c r="CG63">
        <v>3</v>
      </c>
      <c r="CH63">
        <v>38.89</v>
      </c>
    </row>
    <row r="64" spans="3:86">
      <c r="C64">
        <v>14</v>
      </c>
      <c r="D64">
        <v>62</v>
      </c>
      <c r="E64">
        <v>9700</v>
      </c>
      <c r="H64" t="s">
        <v>121</v>
      </c>
      <c r="J64" s="202">
        <v>60.971937029431899</v>
      </c>
      <c r="K64">
        <v>0</v>
      </c>
      <c r="L64" t="s">
        <v>49</v>
      </c>
      <c r="M64" t="s">
        <v>64</v>
      </c>
      <c r="N64" t="s">
        <v>107</v>
      </c>
      <c r="O64">
        <v>1</v>
      </c>
      <c r="P64">
        <v>0</v>
      </c>
      <c r="Q64">
        <v>0</v>
      </c>
      <c r="R64">
        <v>0</v>
      </c>
      <c r="S64">
        <v>0</v>
      </c>
      <c r="T64" t="s">
        <v>155</v>
      </c>
      <c r="U64" t="s">
        <v>402</v>
      </c>
      <c r="V64">
        <v>1</v>
      </c>
      <c r="W64">
        <v>0</v>
      </c>
      <c r="X64">
        <v>0</v>
      </c>
      <c r="Y64">
        <v>0</v>
      </c>
      <c r="Z64">
        <v>0</v>
      </c>
      <c r="AA64">
        <v>0</v>
      </c>
      <c r="AD64">
        <v>5.9466119096509242</v>
      </c>
      <c r="AE64">
        <v>0</v>
      </c>
      <c r="AF64">
        <v>1</v>
      </c>
      <c r="AG64" t="s">
        <v>387</v>
      </c>
      <c r="AH64">
        <v>1</v>
      </c>
      <c r="AI64" t="s">
        <v>315</v>
      </c>
      <c r="AK64">
        <v>11.564681724845997</v>
      </c>
      <c r="AL64">
        <v>0</v>
      </c>
      <c r="AM64">
        <v>17.511293634496919</v>
      </c>
      <c r="AN64" s="202">
        <v>2</v>
      </c>
      <c r="AO64">
        <v>0</v>
      </c>
      <c r="AR64">
        <v>1</v>
      </c>
      <c r="AS64">
        <v>5</v>
      </c>
      <c r="AT64">
        <v>3.5</v>
      </c>
      <c r="AU64">
        <v>17.5</v>
      </c>
      <c r="AV64">
        <v>0</v>
      </c>
      <c r="AW64">
        <v>0</v>
      </c>
      <c r="AX64">
        <v>1</v>
      </c>
      <c r="AY64">
        <v>0</v>
      </c>
      <c r="AZ64">
        <v>0</v>
      </c>
      <c r="BA64">
        <v>0</v>
      </c>
      <c r="BB64">
        <v>0</v>
      </c>
      <c r="BC64">
        <v>1</v>
      </c>
      <c r="BD64" s="202">
        <v>1</v>
      </c>
      <c r="BI64" t="s">
        <v>82</v>
      </c>
      <c r="BJ64" s="202">
        <v>13.371663244353183</v>
      </c>
      <c r="BK64" s="202">
        <v>407</v>
      </c>
      <c r="BL64">
        <v>1</v>
      </c>
      <c r="BN64">
        <v>1.3141683778234086</v>
      </c>
      <c r="BO64">
        <v>2.6611909650924024</v>
      </c>
      <c r="BP64">
        <v>81</v>
      </c>
      <c r="BQ64">
        <v>1</v>
      </c>
      <c r="BS64">
        <v>2.6611909650924024</v>
      </c>
      <c r="BT64">
        <v>81</v>
      </c>
      <c r="BU64">
        <v>1</v>
      </c>
      <c r="BX64">
        <v>35983</v>
      </c>
      <c r="BY64">
        <v>2.6611909650924024</v>
      </c>
      <c r="BZ64">
        <v>81</v>
      </c>
      <c r="CA64">
        <v>1</v>
      </c>
      <c r="CC64">
        <v>2.6611909650924024</v>
      </c>
      <c r="CD64">
        <v>81</v>
      </c>
      <c r="CE64" t="s">
        <v>22</v>
      </c>
      <c r="CF64" t="s">
        <v>141</v>
      </c>
      <c r="CG64">
        <v>5</v>
      </c>
      <c r="CH64">
        <v>130.9</v>
      </c>
    </row>
    <row r="65" spans="3:86">
      <c r="C65">
        <v>15</v>
      </c>
      <c r="D65">
        <v>63</v>
      </c>
      <c r="E65">
        <v>9700</v>
      </c>
      <c r="H65" t="s">
        <v>121</v>
      </c>
      <c r="J65" s="202">
        <v>49.954825462012323</v>
      </c>
      <c r="K65">
        <v>0</v>
      </c>
      <c r="L65" t="s">
        <v>49</v>
      </c>
      <c r="M65" t="s">
        <v>64</v>
      </c>
      <c r="N65" t="s">
        <v>107</v>
      </c>
      <c r="O65">
        <v>1</v>
      </c>
      <c r="P65">
        <v>0</v>
      </c>
      <c r="Q65">
        <v>0</v>
      </c>
      <c r="R65">
        <v>0</v>
      </c>
      <c r="S65">
        <v>0</v>
      </c>
      <c r="T65" t="s">
        <v>155</v>
      </c>
      <c r="U65" t="s">
        <v>402</v>
      </c>
      <c r="V65">
        <v>1</v>
      </c>
      <c r="W65">
        <v>0</v>
      </c>
      <c r="X65">
        <v>0</v>
      </c>
      <c r="Y65">
        <v>0</v>
      </c>
      <c r="Z65">
        <v>0</v>
      </c>
      <c r="AA65">
        <v>0</v>
      </c>
      <c r="AD65">
        <v>38.53798767967146</v>
      </c>
      <c r="AE65">
        <v>0</v>
      </c>
      <c r="AF65">
        <v>0</v>
      </c>
      <c r="AG65" t="s">
        <v>387</v>
      </c>
      <c r="AH65">
        <v>1</v>
      </c>
      <c r="AI65" t="s">
        <v>327</v>
      </c>
      <c r="AK65">
        <v>10.677618069815194</v>
      </c>
      <c r="AL65">
        <v>0</v>
      </c>
      <c r="AM65">
        <v>49.215605749486656</v>
      </c>
      <c r="AN65" s="202">
        <v>4</v>
      </c>
      <c r="AO65">
        <v>0</v>
      </c>
      <c r="AR65">
        <v>5.7142857142857144</v>
      </c>
      <c r="AS65">
        <v>10</v>
      </c>
      <c r="AT65">
        <v>5</v>
      </c>
      <c r="AU65">
        <v>50</v>
      </c>
      <c r="AV65">
        <v>1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1</v>
      </c>
      <c r="BD65" s="202">
        <v>1</v>
      </c>
      <c r="BJ65" s="202">
        <v>45.404517453798768</v>
      </c>
      <c r="BK65" s="202">
        <v>1382</v>
      </c>
      <c r="BL65">
        <v>1</v>
      </c>
      <c r="BN65">
        <v>12.188911704312115</v>
      </c>
      <c r="BO65">
        <v>13.798767967145791</v>
      </c>
      <c r="BP65">
        <v>420</v>
      </c>
      <c r="BU65">
        <v>1</v>
      </c>
      <c r="BX65">
        <v>36326</v>
      </c>
      <c r="BY65">
        <v>13.798767967145791</v>
      </c>
      <c r="BZ65">
        <v>420</v>
      </c>
      <c r="CA65">
        <v>1</v>
      </c>
      <c r="CC65">
        <v>13.798767967145791</v>
      </c>
      <c r="CD65">
        <v>420</v>
      </c>
      <c r="CE65" t="s">
        <v>38</v>
      </c>
      <c r="CF65" t="s">
        <v>38</v>
      </c>
      <c r="CG65">
        <v>3</v>
      </c>
      <c r="CH65">
        <v>47.209999999999994</v>
      </c>
    </row>
    <row r="66" spans="3:86">
      <c r="C66">
        <v>17</v>
      </c>
      <c r="D66">
        <v>64</v>
      </c>
      <c r="E66">
        <v>9700</v>
      </c>
      <c r="H66" t="s">
        <v>121</v>
      </c>
      <c r="J66" s="202">
        <v>72.96646132785763</v>
      </c>
      <c r="K66">
        <v>0</v>
      </c>
      <c r="L66" t="s">
        <v>49</v>
      </c>
      <c r="M66" t="s">
        <v>219</v>
      </c>
      <c r="N66" t="s">
        <v>509</v>
      </c>
      <c r="O66">
        <v>0</v>
      </c>
      <c r="P66">
        <v>0</v>
      </c>
      <c r="Q66">
        <v>0</v>
      </c>
      <c r="R66">
        <v>0</v>
      </c>
      <c r="S66">
        <v>0</v>
      </c>
      <c r="T66" t="s">
        <v>35</v>
      </c>
      <c r="U66" t="s">
        <v>507</v>
      </c>
      <c r="V66">
        <v>0</v>
      </c>
      <c r="W66">
        <v>1</v>
      </c>
      <c r="X66">
        <v>0</v>
      </c>
      <c r="Y66">
        <v>0</v>
      </c>
      <c r="Z66">
        <v>0</v>
      </c>
      <c r="AA66">
        <v>0</v>
      </c>
      <c r="AD66">
        <v>6.6365503080082142</v>
      </c>
      <c r="AE66">
        <v>0</v>
      </c>
      <c r="AF66">
        <v>0</v>
      </c>
      <c r="AG66" t="s">
        <v>390</v>
      </c>
      <c r="AH66">
        <v>1</v>
      </c>
      <c r="AI66" t="s">
        <v>327</v>
      </c>
      <c r="AK66">
        <v>7.3921971252566738</v>
      </c>
      <c r="AL66">
        <v>0</v>
      </c>
      <c r="AM66">
        <v>14.028747433264886</v>
      </c>
      <c r="AN66" s="202">
        <v>3</v>
      </c>
      <c r="AO66">
        <v>0</v>
      </c>
      <c r="AR66">
        <v>2.5714285714285716</v>
      </c>
      <c r="AS66">
        <v>10</v>
      </c>
      <c r="AT66">
        <v>5</v>
      </c>
      <c r="AU66">
        <v>50</v>
      </c>
      <c r="AV66">
        <v>1</v>
      </c>
      <c r="AW66">
        <v>1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2</v>
      </c>
      <c r="BD66" s="202">
        <v>1</v>
      </c>
      <c r="BI66" t="s">
        <v>82</v>
      </c>
      <c r="BJ66" s="202">
        <v>7.5564681724845997</v>
      </c>
      <c r="BK66" s="202">
        <v>230</v>
      </c>
      <c r="BL66">
        <v>0</v>
      </c>
      <c r="BO66">
        <v>7.5564681724845997</v>
      </c>
      <c r="BP66">
        <v>230</v>
      </c>
      <c r="BQ66">
        <v>1</v>
      </c>
      <c r="BS66">
        <v>5.6180698151950716</v>
      </c>
      <c r="BT66">
        <v>171</v>
      </c>
      <c r="BU66">
        <v>1</v>
      </c>
      <c r="BX66">
        <v>36099</v>
      </c>
      <c r="BY66">
        <v>5.6180698151950716</v>
      </c>
      <c r="BZ66">
        <v>171</v>
      </c>
      <c r="CA66">
        <v>1</v>
      </c>
      <c r="CC66">
        <v>5.6180698151950716</v>
      </c>
      <c r="CD66">
        <v>171</v>
      </c>
      <c r="CE66" t="s">
        <v>22</v>
      </c>
      <c r="CF66" t="s">
        <v>36</v>
      </c>
      <c r="CG66">
        <v>2</v>
      </c>
      <c r="CH66">
        <v>12.35</v>
      </c>
    </row>
    <row r="67" spans="3:86">
      <c r="C67">
        <v>18</v>
      </c>
      <c r="D67">
        <v>65</v>
      </c>
      <c r="E67">
        <v>9700</v>
      </c>
      <c r="H67" t="s">
        <v>121</v>
      </c>
      <c r="J67" s="202">
        <v>56.563997262149215</v>
      </c>
      <c r="K67">
        <v>0</v>
      </c>
      <c r="L67" t="s">
        <v>49</v>
      </c>
      <c r="M67" t="s">
        <v>220</v>
      </c>
      <c r="N67" t="s">
        <v>510</v>
      </c>
      <c r="O67">
        <v>0</v>
      </c>
      <c r="P67">
        <v>1</v>
      </c>
      <c r="Q67">
        <v>0</v>
      </c>
      <c r="R67">
        <v>0</v>
      </c>
      <c r="S67">
        <v>0</v>
      </c>
      <c r="T67" t="s">
        <v>155</v>
      </c>
      <c r="U67" t="s">
        <v>402</v>
      </c>
      <c r="V67">
        <v>1</v>
      </c>
      <c r="W67">
        <v>0</v>
      </c>
      <c r="X67">
        <v>0</v>
      </c>
      <c r="Y67">
        <v>0</v>
      </c>
      <c r="Z67">
        <v>0</v>
      </c>
      <c r="AA67">
        <v>0</v>
      </c>
      <c r="AD67">
        <v>8.5420944558521548</v>
      </c>
      <c r="AE67">
        <v>0</v>
      </c>
      <c r="AF67">
        <v>0</v>
      </c>
      <c r="AG67" t="s">
        <v>387</v>
      </c>
      <c r="AH67">
        <v>1</v>
      </c>
      <c r="AI67" t="s">
        <v>315</v>
      </c>
      <c r="AK67">
        <v>6.4722792607802875</v>
      </c>
      <c r="AL67">
        <v>0</v>
      </c>
      <c r="AM67">
        <v>15.014373716632443</v>
      </c>
      <c r="AN67" s="202">
        <v>3</v>
      </c>
      <c r="AO67">
        <v>0</v>
      </c>
      <c r="AR67">
        <v>1.2857142857142858</v>
      </c>
      <c r="AS67">
        <v>8</v>
      </c>
      <c r="AT67">
        <v>3</v>
      </c>
      <c r="AU67">
        <v>24</v>
      </c>
      <c r="AV67">
        <v>0</v>
      </c>
      <c r="AW67">
        <v>0</v>
      </c>
      <c r="AX67">
        <v>1</v>
      </c>
      <c r="AY67">
        <v>0</v>
      </c>
      <c r="AZ67">
        <v>0</v>
      </c>
      <c r="BA67">
        <v>0</v>
      </c>
      <c r="BB67">
        <v>0</v>
      </c>
      <c r="BC67">
        <v>1</v>
      </c>
      <c r="BD67" s="202">
        <v>1</v>
      </c>
      <c r="BI67" t="s">
        <v>514</v>
      </c>
      <c r="BJ67" s="202">
        <v>3.0225872689938393</v>
      </c>
      <c r="BK67" s="202">
        <v>91.999999999999986</v>
      </c>
      <c r="BL67">
        <v>1</v>
      </c>
      <c r="BN67">
        <v>0.32854209445585214</v>
      </c>
      <c r="BO67">
        <v>1.0841889117043122</v>
      </c>
      <c r="BP67">
        <v>33.000000000000007</v>
      </c>
      <c r="BQ67">
        <v>0</v>
      </c>
      <c r="BS67">
        <v>3.0225872689938393</v>
      </c>
      <c r="BT67">
        <v>91.999999999999986</v>
      </c>
      <c r="BU67">
        <v>1</v>
      </c>
      <c r="BX67">
        <v>35962</v>
      </c>
      <c r="BY67">
        <v>1.0841889117043122</v>
      </c>
      <c r="BZ67">
        <v>33.000000000000007</v>
      </c>
      <c r="CA67">
        <v>1</v>
      </c>
      <c r="CC67">
        <v>1.0841889117043122</v>
      </c>
      <c r="CD67">
        <v>33.000000000000007</v>
      </c>
      <c r="CE67" t="s">
        <v>87</v>
      </c>
      <c r="CF67" t="s">
        <v>87</v>
      </c>
      <c r="CG67">
        <v>5</v>
      </c>
      <c r="CH67">
        <v>397</v>
      </c>
    </row>
    <row r="68" spans="3:86">
      <c r="C68">
        <v>20</v>
      </c>
      <c r="D68">
        <v>66</v>
      </c>
      <c r="E68">
        <v>9700</v>
      </c>
      <c r="H68" t="s">
        <v>121</v>
      </c>
      <c r="J68" s="202">
        <v>56.878850102669404</v>
      </c>
      <c r="K68">
        <v>1</v>
      </c>
      <c r="L68" t="s">
        <v>170</v>
      </c>
      <c r="M68" t="s">
        <v>238</v>
      </c>
      <c r="N68" t="s">
        <v>509</v>
      </c>
      <c r="O68">
        <v>0</v>
      </c>
      <c r="P68">
        <v>0</v>
      </c>
      <c r="Q68">
        <v>0</v>
      </c>
      <c r="R68">
        <v>0</v>
      </c>
      <c r="S68">
        <v>0</v>
      </c>
      <c r="T68" t="s">
        <v>10</v>
      </c>
      <c r="U68" t="s">
        <v>509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D68">
        <v>80.985626283367566</v>
      </c>
      <c r="AE68">
        <v>0</v>
      </c>
      <c r="AF68">
        <v>0</v>
      </c>
      <c r="AG68" t="s">
        <v>390</v>
      </c>
      <c r="AH68">
        <v>1</v>
      </c>
      <c r="AI68" t="s">
        <v>90</v>
      </c>
      <c r="AK68">
        <v>14.948665297741274</v>
      </c>
      <c r="AL68">
        <v>0</v>
      </c>
      <c r="AM68">
        <v>95.934291581108823</v>
      </c>
      <c r="AN68" s="202">
        <v>1</v>
      </c>
      <c r="AO68">
        <v>1</v>
      </c>
      <c r="AR68">
        <v>2.2857142857142856</v>
      </c>
      <c r="AS68">
        <v>13</v>
      </c>
      <c r="AT68">
        <v>3</v>
      </c>
      <c r="AU68">
        <v>39</v>
      </c>
      <c r="AV68">
        <v>0</v>
      </c>
      <c r="AW68">
        <v>0</v>
      </c>
      <c r="AX68">
        <v>1</v>
      </c>
      <c r="AY68">
        <v>0</v>
      </c>
      <c r="AZ68">
        <v>0</v>
      </c>
      <c r="BA68">
        <v>0</v>
      </c>
      <c r="BB68">
        <v>0</v>
      </c>
      <c r="BC68">
        <v>1</v>
      </c>
      <c r="BD68" s="202">
        <v>1</v>
      </c>
      <c r="BI68" t="s">
        <v>82</v>
      </c>
      <c r="BJ68" s="202">
        <v>14.455852156057494</v>
      </c>
      <c r="BK68" s="202">
        <v>440</v>
      </c>
      <c r="BL68">
        <v>1</v>
      </c>
      <c r="BN68">
        <v>6.0123203285420947</v>
      </c>
      <c r="BO68">
        <v>6.9322381930184802</v>
      </c>
      <c r="BP68">
        <v>211</v>
      </c>
      <c r="BQ68">
        <v>1</v>
      </c>
      <c r="BS68">
        <v>6.9322381930184802</v>
      </c>
      <c r="BT68">
        <v>211</v>
      </c>
      <c r="BU68">
        <v>1</v>
      </c>
      <c r="BX68">
        <v>36155</v>
      </c>
      <c r="BY68">
        <v>6.9322381930184802</v>
      </c>
      <c r="BZ68">
        <v>211</v>
      </c>
      <c r="CA68">
        <v>1</v>
      </c>
      <c r="CC68">
        <v>6.9322381930184802</v>
      </c>
      <c r="CD68">
        <v>211</v>
      </c>
      <c r="CE68" t="s">
        <v>22</v>
      </c>
      <c r="CF68" t="s">
        <v>92</v>
      </c>
      <c r="CG68">
        <v>3</v>
      </c>
      <c r="CH68">
        <v>20.37</v>
      </c>
    </row>
    <row r="69" spans="3:86">
      <c r="C69">
        <v>21</v>
      </c>
      <c r="D69">
        <v>67</v>
      </c>
      <c r="E69">
        <v>9700</v>
      </c>
      <c r="H69" t="s">
        <v>121</v>
      </c>
      <c r="J69" s="202">
        <v>56.854209445585212</v>
      </c>
      <c r="K69">
        <v>1</v>
      </c>
      <c r="L69" t="s">
        <v>49</v>
      </c>
      <c r="M69" t="s">
        <v>64</v>
      </c>
      <c r="N69" t="s">
        <v>107</v>
      </c>
      <c r="O69">
        <v>1</v>
      </c>
      <c r="P69">
        <v>0</v>
      </c>
      <c r="Q69">
        <v>0</v>
      </c>
      <c r="R69">
        <v>0</v>
      </c>
      <c r="S69">
        <v>0</v>
      </c>
      <c r="T69" t="s">
        <v>155</v>
      </c>
      <c r="U69" t="s">
        <v>402</v>
      </c>
      <c r="V69">
        <v>1</v>
      </c>
      <c r="W69">
        <v>0</v>
      </c>
      <c r="X69">
        <v>0</v>
      </c>
      <c r="Y69">
        <v>0</v>
      </c>
      <c r="Z69">
        <v>0</v>
      </c>
      <c r="AA69">
        <v>0</v>
      </c>
      <c r="AD69">
        <v>0</v>
      </c>
      <c r="AE69">
        <v>1</v>
      </c>
      <c r="AF69">
        <v>1</v>
      </c>
      <c r="AG69" t="s">
        <v>389</v>
      </c>
      <c r="AH69">
        <v>1</v>
      </c>
      <c r="AI69" t="s">
        <v>327</v>
      </c>
      <c r="AK69">
        <v>16.821355236139631</v>
      </c>
      <c r="AL69">
        <v>64.492813141683783</v>
      </c>
      <c r="AM69">
        <v>81.314168377823407</v>
      </c>
      <c r="AN69" s="202">
        <v>4</v>
      </c>
      <c r="AO69">
        <v>0</v>
      </c>
      <c r="AR69">
        <v>1.5714285714285714</v>
      </c>
      <c r="AS69">
        <v>10</v>
      </c>
      <c r="AT69">
        <v>5</v>
      </c>
      <c r="AU69">
        <v>50</v>
      </c>
      <c r="AV69">
        <v>1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1</v>
      </c>
      <c r="BD69" s="202">
        <v>1</v>
      </c>
      <c r="BI69" t="s">
        <v>82</v>
      </c>
      <c r="BJ69" s="202">
        <v>24.377823408624231</v>
      </c>
      <c r="BK69" s="202">
        <v>742</v>
      </c>
      <c r="BL69">
        <v>1</v>
      </c>
      <c r="BN69">
        <v>6.0780287474332653</v>
      </c>
      <c r="BO69">
        <v>8.4763860369609851</v>
      </c>
      <c r="BP69">
        <v>258</v>
      </c>
      <c r="BQ69">
        <v>1</v>
      </c>
      <c r="BS69">
        <v>8.6078028747433262</v>
      </c>
      <c r="BT69">
        <v>262</v>
      </c>
      <c r="BU69">
        <v>1</v>
      </c>
      <c r="BX69">
        <v>36218</v>
      </c>
      <c r="BY69">
        <v>8.6078028747433262</v>
      </c>
      <c r="BZ69">
        <v>262</v>
      </c>
      <c r="CA69">
        <v>1</v>
      </c>
      <c r="CC69">
        <v>8.6078028747433262</v>
      </c>
      <c r="CD69">
        <v>262</v>
      </c>
      <c r="CE69" t="s">
        <v>88</v>
      </c>
      <c r="CF69" t="s">
        <v>88</v>
      </c>
      <c r="CG69">
        <v>3</v>
      </c>
      <c r="CH69">
        <v>20.8</v>
      </c>
    </row>
    <row r="70" spans="3:86">
      <c r="C70">
        <v>23</v>
      </c>
      <c r="D70">
        <v>68</v>
      </c>
      <c r="E70">
        <v>9700</v>
      </c>
      <c r="H70" t="s">
        <v>121</v>
      </c>
      <c r="J70" s="202">
        <v>42.012320328542096</v>
      </c>
      <c r="K70">
        <v>1</v>
      </c>
      <c r="L70" t="s">
        <v>49</v>
      </c>
      <c r="M70" t="s">
        <v>258</v>
      </c>
      <c r="N70" t="s">
        <v>509</v>
      </c>
      <c r="O70">
        <v>0</v>
      </c>
      <c r="P70">
        <v>0</v>
      </c>
      <c r="Q70">
        <v>0</v>
      </c>
      <c r="R70">
        <v>0</v>
      </c>
      <c r="S70">
        <v>0</v>
      </c>
      <c r="T70" t="s">
        <v>155</v>
      </c>
      <c r="U70" t="s">
        <v>402</v>
      </c>
      <c r="V70">
        <v>1</v>
      </c>
      <c r="W70">
        <v>0</v>
      </c>
      <c r="X70">
        <v>0</v>
      </c>
      <c r="Y70">
        <v>0</v>
      </c>
      <c r="Z70">
        <v>0</v>
      </c>
      <c r="AA70">
        <v>0</v>
      </c>
      <c r="AD70">
        <v>62.98151950718686</v>
      </c>
      <c r="AE70">
        <v>1</v>
      </c>
      <c r="AF70">
        <v>0</v>
      </c>
      <c r="AG70" t="s">
        <v>387</v>
      </c>
      <c r="AH70">
        <v>1</v>
      </c>
      <c r="AI70" t="s">
        <v>142</v>
      </c>
      <c r="AK70">
        <v>7.523613963039014</v>
      </c>
      <c r="AL70">
        <v>19.022587268993838</v>
      </c>
      <c r="AM70">
        <v>89.527720739219717</v>
      </c>
      <c r="AN70" s="202">
        <v>2</v>
      </c>
      <c r="AO70">
        <v>0</v>
      </c>
      <c r="AR70">
        <v>2.5714285714285716</v>
      </c>
      <c r="AS70">
        <v>14</v>
      </c>
      <c r="AT70">
        <v>3</v>
      </c>
      <c r="AU70">
        <v>42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1</v>
      </c>
      <c r="BC70">
        <v>1</v>
      </c>
      <c r="BD70" s="202">
        <v>1</v>
      </c>
      <c r="BI70" t="s">
        <v>82</v>
      </c>
      <c r="BJ70" s="202">
        <v>21.15811088295688</v>
      </c>
      <c r="BK70" s="202">
        <v>644</v>
      </c>
      <c r="BL70">
        <v>0</v>
      </c>
      <c r="BO70">
        <v>21.15811088295688</v>
      </c>
      <c r="BP70">
        <v>644</v>
      </c>
      <c r="BQ70">
        <v>1</v>
      </c>
      <c r="BS70">
        <v>5.3223819301848048</v>
      </c>
      <c r="BT70">
        <v>162</v>
      </c>
      <c r="BU70">
        <v>1</v>
      </c>
      <c r="BX70">
        <v>36139</v>
      </c>
      <c r="BY70">
        <v>5.3223819301848048</v>
      </c>
      <c r="BZ70">
        <v>162</v>
      </c>
      <c r="CA70">
        <v>1</v>
      </c>
      <c r="CC70">
        <v>5.3223819301848048</v>
      </c>
      <c r="CD70">
        <v>162</v>
      </c>
      <c r="CE70" t="s">
        <v>22</v>
      </c>
      <c r="CF70" t="s">
        <v>183</v>
      </c>
      <c r="CG70">
        <v>3</v>
      </c>
      <c r="CH70">
        <v>33.71</v>
      </c>
    </row>
    <row r="71" spans="3:86">
      <c r="C71">
        <v>24</v>
      </c>
      <c r="D71">
        <v>69</v>
      </c>
      <c r="E71">
        <v>9700</v>
      </c>
      <c r="H71" t="s">
        <v>121</v>
      </c>
      <c r="J71" s="202">
        <v>77.445585215605746</v>
      </c>
      <c r="K71">
        <v>0</v>
      </c>
      <c r="L71" t="s">
        <v>49</v>
      </c>
      <c r="M71" t="s">
        <v>144</v>
      </c>
      <c r="N71" t="s">
        <v>107</v>
      </c>
      <c r="O71">
        <v>1</v>
      </c>
      <c r="P71">
        <v>0</v>
      </c>
      <c r="Q71">
        <v>0</v>
      </c>
      <c r="R71">
        <v>0</v>
      </c>
      <c r="S71">
        <v>0</v>
      </c>
      <c r="T71" t="s">
        <v>155</v>
      </c>
      <c r="U71" t="s">
        <v>402</v>
      </c>
      <c r="V71">
        <v>1</v>
      </c>
      <c r="W71">
        <v>0</v>
      </c>
      <c r="X71">
        <v>0</v>
      </c>
      <c r="Y71">
        <v>0</v>
      </c>
      <c r="Z71">
        <v>0</v>
      </c>
      <c r="AA71">
        <v>0</v>
      </c>
      <c r="AD71">
        <v>22.143737166324435</v>
      </c>
      <c r="AE71">
        <v>1</v>
      </c>
      <c r="AF71">
        <v>0</v>
      </c>
      <c r="AG71" t="s">
        <v>387</v>
      </c>
      <c r="AH71">
        <v>1</v>
      </c>
      <c r="AI71" t="s">
        <v>327</v>
      </c>
      <c r="AK71">
        <v>2.7597535934291582</v>
      </c>
      <c r="AL71">
        <v>26.151950718685832</v>
      </c>
      <c r="AM71">
        <v>51.055441478439427</v>
      </c>
      <c r="AN71" s="202">
        <v>1</v>
      </c>
      <c r="AO71">
        <v>1</v>
      </c>
      <c r="AR71">
        <v>2</v>
      </c>
      <c r="AS71">
        <v>10</v>
      </c>
      <c r="AT71">
        <v>5</v>
      </c>
      <c r="AU71">
        <v>50</v>
      </c>
      <c r="AV71">
        <v>1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1</v>
      </c>
      <c r="BD71" s="202">
        <v>1</v>
      </c>
      <c r="BI71" t="s">
        <v>290</v>
      </c>
      <c r="BJ71" s="202">
        <v>25.494866529774125</v>
      </c>
      <c r="BK71" s="202">
        <v>776</v>
      </c>
      <c r="BL71">
        <v>1</v>
      </c>
      <c r="BN71">
        <v>21.09240246406571</v>
      </c>
      <c r="BO71">
        <v>23.195071868583163</v>
      </c>
      <c r="BP71">
        <v>706</v>
      </c>
      <c r="BQ71">
        <v>1</v>
      </c>
      <c r="BS71">
        <v>7.9178644763860371</v>
      </c>
      <c r="BT71">
        <v>241</v>
      </c>
      <c r="BU71">
        <v>2</v>
      </c>
      <c r="BX71">
        <v>36219</v>
      </c>
      <c r="BY71">
        <v>7.9178644763860371</v>
      </c>
      <c r="BZ71">
        <v>241</v>
      </c>
      <c r="CA71">
        <v>2</v>
      </c>
      <c r="CC71">
        <v>7.9178644763860371</v>
      </c>
      <c r="CD71">
        <v>241</v>
      </c>
      <c r="CE71" t="s">
        <v>22</v>
      </c>
      <c r="CF71" t="s">
        <v>253</v>
      </c>
      <c r="CG71">
        <v>1</v>
      </c>
      <c r="CH71">
        <v>1.81</v>
      </c>
    </row>
    <row r="72" spans="3:86">
      <c r="C72">
        <v>25</v>
      </c>
      <c r="D72">
        <v>70</v>
      </c>
      <c r="E72">
        <v>9700</v>
      </c>
      <c r="H72" t="s">
        <v>121</v>
      </c>
      <c r="J72" s="202">
        <v>85.399041752224505</v>
      </c>
      <c r="K72">
        <v>1</v>
      </c>
      <c r="L72" t="s">
        <v>68</v>
      </c>
      <c r="M72" t="s">
        <v>348</v>
      </c>
      <c r="N72" t="s">
        <v>509</v>
      </c>
      <c r="O72">
        <v>0</v>
      </c>
      <c r="P72">
        <v>0</v>
      </c>
      <c r="Q72">
        <v>0</v>
      </c>
      <c r="R72">
        <v>0</v>
      </c>
      <c r="S72">
        <v>0</v>
      </c>
      <c r="T72" t="s">
        <v>155</v>
      </c>
      <c r="U72" t="s">
        <v>402</v>
      </c>
      <c r="V72">
        <v>1</v>
      </c>
      <c r="W72">
        <v>0</v>
      </c>
      <c r="X72">
        <v>0</v>
      </c>
      <c r="Y72">
        <v>0</v>
      </c>
      <c r="Z72">
        <v>0</v>
      </c>
      <c r="AA72">
        <v>0</v>
      </c>
      <c r="AD72">
        <v>28.681724845995895</v>
      </c>
      <c r="AE72">
        <v>0</v>
      </c>
      <c r="AF72">
        <v>1</v>
      </c>
      <c r="AG72" t="s">
        <v>390</v>
      </c>
      <c r="AH72">
        <v>1</v>
      </c>
      <c r="AI72" t="s">
        <v>327</v>
      </c>
      <c r="AK72">
        <v>12.254620123203285</v>
      </c>
      <c r="AL72">
        <v>0</v>
      </c>
      <c r="AM72">
        <v>40.936344969199176</v>
      </c>
      <c r="AN72" s="202">
        <v>3</v>
      </c>
      <c r="AO72">
        <v>0</v>
      </c>
      <c r="AR72">
        <v>1.8571428571428572</v>
      </c>
      <c r="AS72">
        <v>10</v>
      </c>
      <c r="AT72">
        <v>5</v>
      </c>
      <c r="AU72">
        <v>50</v>
      </c>
      <c r="AV72">
        <v>1</v>
      </c>
      <c r="AW72">
        <v>1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2</v>
      </c>
      <c r="BD72" s="202">
        <v>1</v>
      </c>
      <c r="BI72" t="s">
        <v>399</v>
      </c>
      <c r="BJ72" s="202">
        <v>41.691991786447645</v>
      </c>
      <c r="BK72" s="202">
        <v>1269.0000000000002</v>
      </c>
      <c r="BL72">
        <v>0</v>
      </c>
      <c r="BO72">
        <v>33.577002053388092</v>
      </c>
      <c r="BP72">
        <v>1022</v>
      </c>
      <c r="BQ72">
        <v>0</v>
      </c>
      <c r="BS72">
        <v>33.577002053388092</v>
      </c>
      <c r="BT72">
        <v>1022</v>
      </c>
      <c r="BU72">
        <v>0</v>
      </c>
      <c r="BY72">
        <v>33.577002053388092</v>
      </c>
      <c r="BZ72">
        <v>1022</v>
      </c>
      <c r="CA72">
        <v>0</v>
      </c>
      <c r="CC72">
        <v>33.577002053388092</v>
      </c>
      <c r="CD72">
        <v>1022</v>
      </c>
      <c r="CE72" t="s">
        <v>22</v>
      </c>
      <c r="CF72" t="s">
        <v>73</v>
      </c>
      <c r="CG72">
        <v>4</v>
      </c>
      <c r="CH72">
        <v>52.75</v>
      </c>
    </row>
    <row r="73" spans="3:86">
      <c r="C73">
        <v>26</v>
      </c>
      <c r="D73">
        <v>71</v>
      </c>
      <c r="E73">
        <v>9700</v>
      </c>
      <c r="H73" t="s">
        <v>121</v>
      </c>
      <c r="J73" s="202">
        <v>63.898699520876114</v>
      </c>
      <c r="K73">
        <v>1</v>
      </c>
      <c r="L73" t="s">
        <v>49</v>
      </c>
      <c r="M73" t="s">
        <v>309</v>
      </c>
      <c r="N73" t="s">
        <v>511</v>
      </c>
      <c r="O73">
        <v>0</v>
      </c>
      <c r="P73">
        <v>0</v>
      </c>
      <c r="Q73">
        <v>0</v>
      </c>
      <c r="R73">
        <v>0</v>
      </c>
      <c r="S73">
        <v>1</v>
      </c>
      <c r="T73" t="s">
        <v>155</v>
      </c>
      <c r="U73" t="s">
        <v>402</v>
      </c>
      <c r="V73">
        <v>1</v>
      </c>
      <c r="W73">
        <v>0</v>
      </c>
      <c r="X73">
        <v>0</v>
      </c>
      <c r="Y73">
        <v>0</v>
      </c>
      <c r="Z73">
        <v>0</v>
      </c>
      <c r="AA73">
        <v>0</v>
      </c>
      <c r="AD73">
        <v>2.4640657084188913</v>
      </c>
      <c r="AE73">
        <v>0</v>
      </c>
      <c r="AF73">
        <v>0</v>
      </c>
      <c r="AG73" t="s">
        <v>389</v>
      </c>
      <c r="AH73">
        <v>1</v>
      </c>
      <c r="AI73" t="s">
        <v>315</v>
      </c>
      <c r="AK73">
        <v>11.006160164271048</v>
      </c>
      <c r="AL73">
        <v>0</v>
      </c>
      <c r="AM73">
        <v>13.470225872689939</v>
      </c>
      <c r="AN73" s="202">
        <v>1</v>
      </c>
      <c r="AO73">
        <v>1</v>
      </c>
      <c r="AR73">
        <v>2</v>
      </c>
      <c r="AS73">
        <v>10</v>
      </c>
      <c r="AT73">
        <v>5</v>
      </c>
      <c r="AU73">
        <v>50</v>
      </c>
      <c r="AV73">
        <v>0</v>
      </c>
      <c r="AW73">
        <v>0</v>
      </c>
      <c r="AX73">
        <v>1</v>
      </c>
      <c r="AY73">
        <v>0</v>
      </c>
      <c r="AZ73">
        <v>0</v>
      </c>
      <c r="BA73">
        <v>0</v>
      </c>
      <c r="BB73">
        <v>0</v>
      </c>
      <c r="BC73">
        <v>1</v>
      </c>
      <c r="BD73" s="202">
        <v>1</v>
      </c>
      <c r="BI73" t="s">
        <v>82</v>
      </c>
      <c r="BJ73" s="202">
        <v>6.4722792607802866</v>
      </c>
      <c r="BK73" s="202">
        <v>196.99999999999997</v>
      </c>
      <c r="BL73">
        <v>0</v>
      </c>
      <c r="BO73">
        <v>6.4722792607802866</v>
      </c>
      <c r="BP73">
        <v>196.99999999999997</v>
      </c>
      <c r="BQ73">
        <v>1</v>
      </c>
      <c r="BS73">
        <v>5.8151950718685832</v>
      </c>
      <c r="BT73">
        <v>177</v>
      </c>
      <c r="BU73">
        <v>1</v>
      </c>
      <c r="BX73">
        <v>36168</v>
      </c>
      <c r="BY73">
        <v>5.8151950718685832</v>
      </c>
      <c r="BZ73">
        <v>177</v>
      </c>
      <c r="CA73">
        <v>1</v>
      </c>
      <c r="CC73">
        <v>5.8151950718685832</v>
      </c>
      <c r="CD73">
        <v>177</v>
      </c>
      <c r="CE73" t="s">
        <v>22</v>
      </c>
      <c r="CF73" t="s">
        <v>325</v>
      </c>
      <c r="CG73">
        <v>2</v>
      </c>
      <c r="CH73">
        <v>12.34</v>
      </c>
    </row>
    <row r="74" spans="3:86">
      <c r="C74">
        <v>27</v>
      </c>
      <c r="D74">
        <v>72</v>
      </c>
      <c r="E74">
        <v>9700</v>
      </c>
      <c r="H74" t="s">
        <v>121</v>
      </c>
      <c r="J74" s="202">
        <v>60.265571526351813</v>
      </c>
      <c r="K74">
        <v>1</v>
      </c>
      <c r="L74" t="s">
        <v>49</v>
      </c>
      <c r="M74" t="s">
        <v>326</v>
      </c>
      <c r="N74" t="s">
        <v>107</v>
      </c>
      <c r="O74">
        <v>1</v>
      </c>
      <c r="P74">
        <v>0</v>
      </c>
      <c r="Q74">
        <v>0</v>
      </c>
      <c r="R74">
        <v>0</v>
      </c>
      <c r="S74">
        <v>0</v>
      </c>
      <c r="T74" t="s">
        <v>155</v>
      </c>
      <c r="U74" t="s">
        <v>402</v>
      </c>
      <c r="V74">
        <v>1</v>
      </c>
      <c r="W74">
        <v>0</v>
      </c>
      <c r="X74">
        <v>0</v>
      </c>
      <c r="Y74">
        <v>0</v>
      </c>
      <c r="Z74">
        <v>0</v>
      </c>
      <c r="AA74">
        <v>0</v>
      </c>
      <c r="AD74">
        <v>16.427104722792606</v>
      </c>
      <c r="AE74">
        <v>0</v>
      </c>
      <c r="AF74">
        <v>0</v>
      </c>
      <c r="AG74" t="s">
        <v>390</v>
      </c>
      <c r="AH74">
        <v>1</v>
      </c>
      <c r="AI74" t="s">
        <v>327</v>
      </c>
      <c r="AK74">
        <v>12.156057494866531</v>
      </c>
      <c r="AL74">
        <v>0</v>
      </c>
      <c r="AM74">
        <v>28.583162217659137</v>
      </c>
      <c r="AN74" s="202">
        <v>3</v>
      </c>
      <c r="AO74">
        <v>0</v>
      </c>
      <c r="AR74">
        <v>2.5714285714285716</v>
      </c>
      <c r="AS74">
        <v>14</v>
      </c>
      <c r="AT74">
        <v>3</v>
      </c>
      <c r="AU74">
        <v>42</v>
      </c>
      <c r="AV74">
        <v>1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1</v>
      </c>
      <c r="BD74" s="202">
        <v>1</v>
      </c>
      <c r="BI74" t="s">
        <v>82</v>
      </c>
      <c r="BJ74" s="202">
        <v>54.570841889117048</v>
      </c>
      <c r="BK74" s="202">
        <v>1661.0000000000002</v>
      </c>
      <c r="BL74">
        <v>1</v>
      </c>
      <c r="BN74">
        <v>30.291581108829568</v>
      </c>
      <c r="BO74">
        <v>31.704312114989733</v>
      </c>
      <c r="BP74">
        <v>965</v>
      </c>
      <c r="BQ74">
        <v>1</v>
      </c>
      <c r="BS74">
        <v>31.704312114989733</v>
      </c>
      <c r="BT74">
        <v>965</v>
      </c>
      <c r="BU74">
        <v>1</v>
      </c>
      <c r="BX74">
        <v>36930</v>
      </c>
      <c r="BY74">
        <v>31.704312114989733</v>
      </c>
      <c r="BZ74">
        <v>965</v>
      </c>
      <c r="CA74">
        <v>1</v>
      </c>
      <c r="CC74">
        <v>31.704312114989733</v>
      </c>
      <c r="CD74">
        <v>965</v>
      </c>
      <c r="CE74" t="s">
        <v>22</v>
      </c>
      <c r="CF74" t="s">
        <v>65</v>
      </c>
      <c r="CG74">
        <v>2</v>
      </c>
      <c r="CH74">
        <v>15.022</v>
      </c>
    </row>
    <row r="75" spans="3:86">
      <c r="C75">
        <v>28</v>
      </c>
      <c r="D75">
        <v>73</v>
      </c>
      <c r="E75">
        <v>9700</v>
      </c>
      <c r="H75" t="s">
        <v>121</v>
      </c>
      <c r="J75" s="202">
        <v>79.964407939767284</v>
      </c>
      <c r="K75">
        <v>0</v>
      </c>
      <c r="L75" t="s">
        <v>49</v>
      </c>
      <c r="M75" t="s">
        <v>327</v>
      </c>
      <c r="N75" t="s">
        <v>510</v>
      </c>
      <c r="O75">
        <v>0</v>
      </c>
      <c r="P75">
        <v>1</v>
      </c>
      <c r="Q75">
        <v>0</v>
      </c>
      <c r="R75">
        <v>0</v>
      </c>
      <c r="S75">
        <v>0</v>
      </c>
      <c r="T75" t="s">
        <v>35</v>
      </c>
      <c r="U75" t="s">
        <v>507</v>
      </c>
      <c r="V75">
        <v>0</v>
      </c>
      <c r="W75">
        <v>1</v>
      </c>
      <c r="X75">
        <v>0</v>
      </c>
      <c r="Y75">
        <v>0</v>
      </c>
      <c r="Z75">
        <v>0</v>
      </c>
      <c r="AA75">
        <v>0</v>
      </c>
      <c r="AD75">
        <v>50.956878850102669</v>
      </c>
      <c r="AE75">
        <v>0</v>
      </c>
      <c r="AF75">
        <v>0</v>
      </c>
      <c r="AG75" t="s">
        <v>391</v>
      </c>
      <c r="AH75">
        <v>0</v>
      </c>
      <c r="AI75" t="s">
        <v>327</v>
      </c>
      <c r="AK75">
        <v>2.8254620123203287</v>
      </c>
      <c r="AL75">
        <v>0</v>
      </c>
      <c r="AM75">
        <v>53.782340862422998</v>
      </c>
      <c r="AN75" s="202">
        <v>1</v>
      </c>
      <c r="AO75">
        <v>1</v>
      </c>
      <c r="AR75">
        <v>2</v>
      </c>
      <c r="AS75">
        <v>10</v>
      </c>
      <c r="AT75">
        <v>5</v>
      </c>
      <c r="AU75">
        <v>50</v>
      </c>
      <c r="AV75">
        <v>1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1</v>
      </c>
      <c r="BD75" s="202">
        <v>1</v>
      </c>
      <c r="BI75" t="s">
        <v>82</v>
      </c>
      <c r="BJ75" s="202">
        <v>11.301848049281315</v>
      </c>
      <c r="BK75" s="202">
        <v>344</v>
      </c>
      <c r="BL75">
        <v>0</v>
      </c>
      <c r="BO75">
        <v>11.301848049281315</v>
      </c>
      <c r="BP75">
        <v>344</v>
      </c>
      <c r="BQ75">
        <v>1</v>
      </c>
      <c r="BS75">
        <v>8.4763860369609851</v>
      </c>
      <c r="BT75">
        <v>258</v>
      </c>
      <c r="BU75">
        <v>1</v>
      </c>
      <c r="BX75">
        <v>36243</v>
      </c>
      <c r="BY75">
        <v>8.4763860369609851</v>
      </c>
      <c r="BZ75">
        <v>258</v>
      </c>
      <c r="CA75">
        <v>1</v>
      </c>
      <c r="CC75">
        <v>8.4763860369609851</v>
      </c>
      <c r="CD75">
        <v>258</v>
      </c>
      <c r="CE75" t="s">
        <v>38</v>
      </c>
      <c r="CF75" t="s">
        <v>38</v>
      </c>
      <c r="CG75">
        <v>1</v>
      </c>
      <c r="CH75">
        <v>5.36</v>
      </c>
    </row>
    <row r="76" spans="3:86">
      <c r="C76">
        <v>29</v>
      </c>
      <c r="D76">
        <v>74</v>
      </c>
      <c r="E76">
        <v>9700</v>
      </c>
      <c r="H76" t="s">
        <v>121</v>
      </c>
      <c r="J76" s="202">
        <v>74.149212867898697</v>
      </c>
      <c r="K76">
        <v>1</v>
      </c>
      <c r="L76" t="s">
        <v>49</v>
      </c>
      <c r="M76" t="s">
        <v>144</v>
      </c>
      <c r="N76" t="s">
        <v>107</v>
      </c>
      <c r="O76">
        <v>1</v>
      </c>
      <c r="P76">
        <v>0</v>
      </c>
      <c r="Q76">
        <v>0</v>
      </c>
      <c r="R76">
        <v>0</v>
      </c>
      <c r="S76">
        <v>0</v>
      </c>
      <c r="T76" t="s">
        <v>155</v>
      </c>
      <c r="U76" t="s">
        <v>402</v>
      </c>
      <c r="V76">
        <v>1</v>
      </c>
      <c r="W76">
        <v>0</v>
      </c>
      <c r="X76">
        <v>0</v>
      </c>
      <c r="Y76">
        <v>0</v>
      </c>
      <c r="Z76">
        <v>0</v>
      </c>
      <c r="AA76">
        <v>0</v>
      </c>
      <c r="AD76">
        <v>15.014373716632445</v>
      </c>
      <c r="AE76">
        <v>0</v>
      </c>
      <c r="AF76">
        <v>0</v>
      </c>
      <c r="AG76" t="s">
        <v>387</v>
      </c>
      <c r="AH76">
        <v>1</v>
      </c>
      <c r="AI76" t="s">
        <v>315</v>
      </c>
      <c r="AK76">
        <v>29.535934291581111</v>
      </c>
      <c r="AL76">
        <v>0</v>
      </c>
      <c r="AM76">
        <v>44.550308008213555</v>
      </c>
      <c r="AN76" s="202">
        <v>2</v>
      </c>
      <c r="AO76">
        <v>0</v>
      </c>
      <c r="AR76">
        <v>2</v>
      </c>
      <c r="AS76">
        <v>10</v>
      </c>
      <c r="AT76">
        <v>5</v>
      </c>
      <c r="AU76">
        <v>50</v>
      </c>
      <c r="AV76">
        <v>0</v>
      </c>
      <c r="AW76">
        <v>0</v>
      </c>
      <c r="AX76">
        <v>1</v>
      </c>
      <c r="AY76">
        <v>0</v>
      </c>
      <c r="AZ76">
        <v>0</v>
      </c>
      <c r="BA76">
        <v>0</v>
      </c>
      <c r="BB76">
        <v>0</v>
      </c>
      <c r="BC76">
        <v>1</v>
      </c>
      <c r="BD76" s="202">
        <v>1</v>
      </c>
      <c r="BI76" t="s">
        <v>82</v>
      </c>
      <c r="BJ76" s="202">
        <v>17.117043121149898</v>
      </c>
      <c r="BK76" s="202">
        <v>521</v>
      </c>
      <c r="BL76">
        <v>1</v>
      </c>
      <c r="BN76">
        <v>9.0020533880903493</v>
      </c>
      <c r="BO76">
        <v>10.57905544147844</v>
      </c>
      <c r="BP76">
        <v>322</v>
      </c>
      <c r="BQ76">
        <v>1</v>
      </c>
      <c r="BS76">
        <v>10.57905544147844</v>
      </c>
      <c r="BT76">
        <v>322</v>
      </c>
      <c r="BU76">
        <v>1</v>
      </c>
      <c r="BX76">
        <v>36299</v>
      </c>
      <c r="BY76">
        <v>10.57905544147844</v>
      </c>
      <c r="BZ76">
        <v>322</v>
      </c>
      <c r="CA76">
        <v>1</v>
      </c>
      <c r="CC76">
        <v>10.57905544147844</v>
      </c>
      <c r="CD76">
        <v>322</v>
      </c>
      <c r="CE76" t="s">
        <v>38</v>
      </c>
      <c r="CF76" t="s">
        <v>38</v>
      </c>
      <c r="CG76">
        <v>5</v>
      </c>
      <c r="CH76">
        <v>111.38</v>
      </c>
    </row>
    <row r="77" spans="3:86">
      <c r="C77">
        <v>30</v>
      </c>
      <c r="D77">
        <v>75</v>
      </c>
      <c r="E77">
        <v>9700</v>
      </c>
      <c r="H77" t="s">
        <v>121</v>
      </c>
      <c r="J77" s="202">
        <v>68.758384668035589</v>
      </c>
      <c r="K77">
        <v>0</v>
      </c>
      <c r="L77" t="s">
        <v>68</v>
      </c>
      <c r="M77" t="s">
        <v>209</v>
      </c>
      <c r="N77" t="s">
        <v>510</v>
      </c>
      <c r="O77">
        <v>0</v>
      </c>
      <c r="P77">
        <v>1</v>
      </c>
      <c r="Q77">
        <v>0</v>
      </c>
      <c r="R77">
        <v>0</v>
      </c>
      <c r="S77">
        <v>0</v>
      </c>
      <c r="T77" t="s">
        <v>35</v>
      </c>
      <c r="U77" t="s">
        <v>507</v>
      </c>
      <c r="V77">
        <v>0</v>
      </c>
      <c r="W77">
        <v>1</v>
      </c>
      <c r="X77">
        <v>0</v>
      </c>
      <c r="Y77">
        <v>0</v>
      </c>
      <c r="Z77">
        <v>0</v>
      </c>
      <c r="AA77">
        <v>0</v>
      </c>
      <c r="AD77">
        <v>4.7638603696098558</v>
      </c>
      <c r="AE77">
        <v>0</v>
      </c>
      <c r="AF77">
        <v>0</v>
      </c>
      <c r="AG77" t="s">
        <v>391</v>
      </c>
      <c r="AH77">
        <v>0</v>
      </c>
      <c r="AI77" t="s">
        <v>327</v>
      </c>
      <c r="AK77">
        <v>7.1293634496919918</v>
      </c>
      <c r="AL77">
        <v>0</v>
      </c>
      <c r="AM77">
        <v>11.893223819301848</v>
      </c>
      <c r="AN77" s="202">
        <v>5</v>
      </c>
      <c r="AO77">
        <v>0</v>
      </c>
      <c r="AR77">
        <v>2</v>
      </c>
      <c r="AS77">
        <v>10</v>
      </c>
      <c r="AT77">
        <v>5</v>
      </c>
      <c r="AU77">
        <v>50</v>
      </c>
      <c r="AV77">
        <v>1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1</v>
      </c>
      <c r="BD77" s="202">
        <v>1</v>
      </c>
      <c r="BI77" t="s">
        <v>87</v>
      </c>
      <c r="BJ77" s="202">
        <v>7.2936344969199176</v>
      </c>
      <c r="BK77" s="202">
        <v>222</v>
      </c>
      <c r="BL77">
        <v>0</v>
      </c>
      <c r="BO77">
        <v>7.2936344969199176</v>
      </c>
      <c r="BP77">
        <v>222</v>
      </c>
      <c r="BQ77">
        <v>1</v>
      </c>
      <c r="BS77">
        <v>5.2238193018480494</v>
      </c>
      <c r="BT77">
        <v>159</v>
      </c>
      <c r="BU77">
        <v>1</v>
      </c>
      <c r="BX77">
        <v>36194</v>
      </c>
      <c r="BY77">
        <v>5.2238193018480494</v>
      </c>
      <c r="BZ77">
        <v>159</v>
      </c>
      <c r="CA77">
        <v>1</v>
      </c>
      <c r="CC77">
        <v>5.2238193018480494</v>
      </c>
      <c r="CD77">
        <v>159</v>
      </c>
      <c r="CE77" t="s">
        <v>38</v>
      </c>
      <c r="CF77" t="s">
        <v>38</v>
      </c>
      <c r="CG77">
        <v>4</v>
      </c>
      <c r="CH77">
        <v>72.52</v>
      </c>
    </row>
    <row r="78" spans="3:86">
      <c r="C78">
        <v>31</v>
      </c>
      <c r="D78">
        <v>76</v>
      </c>
      <c r="E78">
        <v>9700</v>
      </c>
      <c r="H78" t="s">
        <v>121</v>
      </c>
      <c r="J78" s="202">
        <v>60.533880903490761</v>
      </c>
      <c r="K78">
        <v>1</v>
      </c>
      <c r="L78" t="s">
        <v>68</v>
      </c>
      <c r="M78" t="s">
        <v>327</v>
      </c>
      <c r="N78" t="s">
        <v>510</v>
      </c>
      <c r="O78">
        <v>0</v>
      </c>
      <c r="P78">
        <v>1</v>
      </c>
      <c r="Q78">
        <v>0</v>
      </c>
      <c r="R78">
        <v>0</v>
      </c>
      <c r="S78">
        <v>0</v>
      </c>
      <c r="T78" t="s">
        <v>225</v>
      </c>
      <c r="U78" t="s">
        <v>509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D78">
        <v>14.455852156057494</v>
      </c>
      <c r="AE78">
        <v>0</v>
      </c>
      <c r="AF78">
        <v>0</v>
      </c>
      <c r="AG78" t="s">
        <v>391</v>
      </c>
      <c r="AH78">
        <v>0</v>
      </c>
      <c r="AI78" t="s">
        <v>327</v>
      </c>
      <c r="AK78">
        <v>4.1724845995893221</v>
      </c>
      <c r="AL78">
        <v>0</v>
      </c>
      <c r="AM78">
        <v>18.628336755646817</v>
      </c>
      <c r="AN78" s="202">
        <v>1</v>
      </c>
      <c r="AO78">
        <v>1</v>
      </c>
      <c r="AR78">
        <v>2</v>
      </c>
      <c r="AS78">
        <v>10</v>
      </c>
      <c r="AT78">
        <v>5</v>
      </c>
      <c r="AU78">
        <v>50</v>
      </c>
      <c r="AV78">
        <v>1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1</v>
      </c>
      <c r="BD78" s="202">
        <v>1</v>
      </c>
      <c r="BI78" t="s">
        <v>224</v>
      </c>
      <c r="BJ78" s="202">
        <v>27.203285420944557</v>
      </c>
      <c r="BK78" s="202">
        <v>828</v>
      </c>
      <c r="BL78">
        <v>0</v>
      </c>
      <c r="BO78">
        <v>26.84188911704312</v>
      </c>
      <c r="BP78">
        <v>817</v>
      </c>
      <c r="BQ78">
        <v>0</v>
      </c>
      <c r="BS78">
        <v>26.84188911704312</v>
      </c>
      <c r="BT78">
        <v>817</v>
      </c>
      <c r="BU78">
        <v>0</v>
      </c>
      <c r="BY78">
        <v>26.84188911704312</v>
      </c>
      <c r="BZ78">
        <v>817</v>
      </c>
      <c r="CA78">
        <v>0</v>
      </c>
      <c r="CC78">
        <v>26.84188911704312</v>
      </c>
      <c r="CD78">
        <v>817</v>
      </c>
      <c r="CE78" t="s">
        <v>22</v>
      </c>
      <c r="CF78" t="s">
        <v>61</v>
      </c>
      <c r="CG78">
        <v>3</v>
      </c>
      <c r="CH78">
        <v>28</v>
      </c>
    </row>
    <row r="79" spans="3:86">
      <c r="C79">
        <v>32</v>
      </c>
      <c r="D79">
        <v>77</v>
      </c>
      <c r="E79">
        <v>9700</v>
      </c>
      <c r="H79" t="s">
        <v>121</v>
      </c>
      <c r="J79" s="202">
        <v>47.167693360711844</v>
      </c>
      <c r="K79">
        <v>0</v>
      </c>
      <c r="L79" t="s">
        <v>49</v>
      </c>
      <c r="M79" t="s">
        <v>127</v>
      </c>
      <c r="N79" t="s">
        <v>107</v>
      </c>
      <c r="O79">
        <v>1</v>
      </c>
      <c r="P79">
        <v>0</v>
      </c>
      <c r="Q79">
        <v>0</v>
      </c>
      <c r="R79">
        <v>0</v>
      </c>
      <c r="S79">
        <v>0</v>
      </c>
      <c r="T79" t="s">
        <v>155</v>
      </c>
      <c r="U79" t="s">
        <v>402</v>
      </c>
      <c r="V79">
        <v>1</v>
      </c>
      <c r="W79">
        <v>0</v>
      </c>
      <c r="X79">
        <v>0</v>
      </c>
      <c r="Y79">
        <v>0</v>
      </c>
      <c r="Z79">
        <v>0</v>
      </c>
      <c r="AA79">
        <v>0</v>
      </c>
      <c r="AD79">
        <v>13.010266940451746</v>
      </c>
      <c r="AE79">
        <v>1</v>
      </c>
      <c r="AF79">
        <v>0</v>
      </c>
      <c r="AG79" t="s">
        <v>387</v>
      </c>
      <c r="AH79">
        <v>1</v>
      </c>
      <c r="AI79" t="s">
        <v>315</v>
      </c>
      <c r="AK79">
        <v>2.6940451745379876</v>
      </c>
      <c r="AL79">
        <v>0</v>
      </c>
      <c r="AM79">
        <v>15.704312114989733</v>
      </c>
      <c r="AN79" s="202">
        <v>1</v>
      </c>
      <c r="AO79">
        <v>1</v>
      </c>
      <c r="AR79">
        <v>2.1428571428571428</v>
      </c>
      <c r="AS79">
        <v>10</v>
      </c>
      <c r="AT79">
        <v>5</v>
      </c>
      <c r="AU79">
        <v>50</v>
      </c>
      <c r="AV79">
        <v>0</v>
      </c>
      <c r="AW79">
        <v>0</v>
      </c>
      <c r="AX79">
        <v>1</v>
      </c>
      <c r="AY79">
        <v>0</v>
      </c>
      <c r="AZ79">
        <v>0</v>
      </c>
      <c r="BA79">
        <v>0</v>
      </c>
      <c r="BB79">
        <v>0</v>
      </c>
      <c r="BC79">
        <v>1</v>
      </c>
      <c r="BD79" s="202">
        <v>1</v>
      </c>
      <c r="BI79" t="s">
        <v>82</v>
      </c>
      <c r="BJ79" s="202">
        <v>14.193018480492814</v>
      </c>
      <c r="BK79" s="202">
        <v>432</v>
      </c>
      <c r="BL79">
        <v>0</v>
      </c>
      <c r="BO79">
        <v>14.193018480492814</v>
      </c>
      <c r="BP79">
        <v>432</v>
      </c>
      <c r="BQ79">
        <v>1</v>
      </c>
      <c r="BS79">
        <v>10.776180698151951</v>
      </c>
      <c r="BT79">
        <v>328</v>
      </c>
      <c r="BU79">
        <v>1</v>
      </c>
      <c r="BX79">
        <v>36356</v>
      </c>
      <c r="BY79">
        <v>10.776180698151951</v>
      </c>
      <c r="BZ79">
        <v>328</v>
      </c>
      <c r="CA79">
        <v>1</v>
      </c>
      <c r="CC79">
        <v>10.776180698151951</v>
      </c>
      <c r="CD79">
        <v>328</v>
      </c>
      <c r="CE79" t="s">
        <v>38</v>
      </c>
      <c r="CF79" t="s">
        <v>38</v>
      </c>
      <c r="CG79">
        <v>4</v>
      </c>
      <c r="CH79">
        <v>62</v>
      </c>
    </row>
    <row r="80" spans="3:86">
      <c r="C80">
        <v>34</v>
      </c>
      <c r="D80">
        <v>78</v>
      </c>
      <c r="E80">
        <v>9700</v>
      </c>
      <c r="H80" t="s">
        <v>121</v>
      </c>
      <c r="J80" s="202">
        <v>87.646817248459953</v>
      </c>
      <c r="K80">
        <v>1</v>
      </c>
      <c r="L80" t="s">
        <v>170</v>
      </c>
      <c r="M80" t="s">
        <v>64</v>
      </c>
      <c r="N80" t="s">
        <v>107</v>
      </c>
      <c r="O80">
        <v>1</v>
      </c>
      <c r="P80">
        <v>0</v>
      </c>
      <c r="Q80">
        <v>0</v>
      </c>
      <c r="R80">
        <v>0</v>
      </c>
      <c r="S80">
        <v>0</v>
      </c>
      <c r="T80" t="s">
        <v>155</v>
      </c>
      <c r="U80" t="s">
        <v>402</v>
      </c>
      <c r="V80">
        <v>1</v>
      </c>
      <c r="W80">
        <v>0</v>
      </c>
      <c r="X80">
        <v>0</v>
      </c>
      <c r="Y80">
        <v>0</v>
      </c>
      <c r="Z80">
        <v>0</v>
      </c>
      <c r="AA80">
        <v>0</v>
      </c>
      <c r="AD80">
        <v>0</v>
      </c>
      <c r="AE80">
        <v>1</v>
      </c>
      <c r="AF80">
        <v>0</v>
      </c>
      <c r="AG80" t="s">
        <v>389</v>
      </c>
      <c r="AH80">
        <v>1</v>
      </c>
      <c r="AI80" t="s">
        <v>315</v>
      </c>
      <c r="AK80">
        <v>9.3634496919917858</v>
      </c>
      <c r="AL80">
        <v>91.301848049281318</v>
      </c>
      <c r="AM80">
        <v>100.66529774127311</v>
      </c>
      <c r="AN80" s="202">
        <v>3</v>
      </c>
      <c r="AO80">
        <v>0</v>
      </c>
      <c r="AR80">
        <v>3.2857142857142856</v>
      </c>
      <c r="AS80">
        <v>13</v>
      </c>
      <c r="AT80">
        <v>4</v>
      </c>
      <c r="AU80">
        <v>52</v>
      </c>
      <c r="AV80">
        <v>0</v>
      </c>
      <c r="AW80">
        <v>0</v>
      </c>
      <c r="AX80">
        <v>1</v>
      </c>
      <c r="AY80">
        <v>0</v>
      </c>
      <c r="AZ80">
        <v>0</v>
      </c>
      <c r="BA80">
        <v>0</v>
      </c>
      <c r="BB80">
        <v>0</v>
      </c>
      <c r="BC80">
        <v>1</v>
      </c>
      <c r="BD80" s="202">
        <v>1</v>
      </c>
      <c r="BI80" t="s">
        <v>87</v>
      </c>
      <c r="BJ80" s="202">
        <v>13.470225872689939</v>
      </c>
      <c r="BK80" s="202">
        <v>410</v>
      </c>
      <c r="BL80">
        <v>0</v>
      </c>
      <c r="BO80">
        <v>11.958932238193018</v>
      </c>
      <c r="BP80">
        <v>364</v>
      </c>
      <c r="BQ80">
        <v>0</v>
      </c>
      <c r="BS80">
        <v>11.958932238193018</v>
      </c>
      <c r="BT80">
        <v>364</v>
      </c>
      <c r="BU80">
        <v>0</v>
      </c>
      <c r="BY80">
        <v>11.958932238193018</v>
      </c>
      <c r="BZ80">
        <v>364</v>
      </c>
      <c r="CA80">
        <v>0</v>
      </c>
      <c r="CC80">
        <v>11.958932238193018</v>
      </c>
      <c r="CD80">
        <v>364</v>
      </c>
      <c r="CE80" t="s">
        <v>38</v>
      </c>
      <c r="CF80" t="s">
        <v>38</v>
      </c>
      <c r="CG80">
        <v>3</v>
      </c>
      <c r="CH80">
        <v>31.720000000000002</v>
      </c>
    </row>
    <row r="81" spans="3:86">
      <c r="C81">
        <v>35</v>
      </c>
      <c r="D81">
        <v>79</v>
      </c>
      <c r="E81">
        <v>9700</v>
      </c>
      <c r="H81" t="s">
        <v>121</v>
      </c>
      <c r="J81" s="202">
        <v>48.662559890485966</v>
      </c>
      <c r="K81">
        <v>0</v>
      </c>
      <c r="L81" t="s">
        <v>170</v>
      </c>
      <c r="M81" t="s">
        <v>315</v>
      </c>
      <c r="N81" t="s">
        <v>511</v>
      </c>
      <c r="O81">
        <v>0</v>
      </c>
      <c r="P81">
        <v>0</v>
      </c>
      <c r="Q81">
        <v>0</v>
      </c>
      <c r="R81">
        <v>0</v>
      </c>
      <c r="S81">
        <v>1</v>
      </c>
      <c r="T81" t="s">
        <v>255</v>
      </c>
      <c r="U81" t="s">
        <v>505</v>
      </c>
      <c r="V81">
        <v>0</v>
      </c>
      <c r="W81">
        <v>0</v>
      </c>
      <c r="X81">
        <v>0</v>
      </c>
      <c r="Y81">
        <v>0</v>
      </c>
      <c r="Z81">
        <v>0</v>
      </c>
      <c r="AA81">
        <v>1</v>
      </c>
      <c r="AD81">
        <v>13.17453798767967</v>
      </c>
      <c r="AE81">
        <v>0</v>
      </c>
      <c r="AF81">
        <v>0</v>
      </c>
      <c r="AG81" t="s">
        <v>391</v>
      </c>
      <c r="AH81">
        <v>0</v>
      </c>
      <c r="AI81" t="s">
        <v>315</v>
      </c>
      <c r="AK81">
        <v>2.431211498973306</v>
      </c>
      <c r="AL81">
        <v>0</v>
      </c>
      <c r="AM81">
        <v>15.605749486652977</v>
      </c>
      <c r="AN81" s="202">
        <v>3</v>
      </c>
      <c r="AO81">
        <v>0</v>
      </c>
      <c r="AR81">
        <v>1.7142857142857142</v>
      </c>
      <c r="AS81">
        <v>10</v>
      </c>
      <c r="AT81">
        <v>5</v>
      </c>
      <c r="AU81">
        <v>50</v>
      </c>
      <c r="AV81">
        <v>0</v>
      </c>
      <c r="AW81">
        <v>0</v>
      </c>
      <c r="AX81">
        <v>1</v>
      </c>
      <c r="AY81">
        <v>0</v>
      </c>
      <c r="AZ81">
        <v>0</v>
      </c>
      <c r="BA81">
        <v>0</v>
      </c>
      <c r="BB81">
        <v>0</v>
      </c>
      <c r="BC81">
        <v>1</v>
      </c>
      <c r="BD81" s="202">
        <v>1</v>
      </c>
      <c r="BI81" t="s">
        <v>82</v>
      </c>
      <c r="BJ81" s="202">
        <v>33.971252566735117</v>
      </c>
      <c r="BK81" s="202">
        <v>1034.0000000000002</v>
      </c>
      <c r="BL81">
        <v>1</v>
      </c>
      <c r="BN81">
        <v>11.170431211498974</v>
      </c>
      <c r="BO81">
        <v>11.827515400410677</v>
      </c>
      <c r="BP81">
        <v>360</v>
      </c>
      <c r="BQ81">
        <v>1</v>
      </c>
      <c r="BS81">
        <v>20.205338809034906</v>
      </c>
      <c r="BT81">
        <v>614.99999999999989</v>
      </c>
      <c r="BU81">
        <v>1</v>
      </c>
      <c r="BX81">
        <v>36442</v>
      </c>
      <c r="BY81">
        <v>11.827515400410677</v>
      </c>
      <c r="BZ81">
        <v>360</v>
      </c>
      <c r="CA81">
        <v>1</v>
      </c>
      <c r="CC81">
        <v>20.205338809034906</v>
      </c>
      <c r="CD81">
        <v>614.99999999999989</v>
      </c>
      <c r="CE81" t="s">
        <v>22</v>
      </c>
      <c r="CF81" t="s">
        <v>285</v>
      </c>
      <c r="CG81">
        <v>1</v>
      </c>
      <c r="CH81">
        <v>9.4499999999999993</v>
      </c>
    </row>
    <row r="82" spans="3:86">
      <c r="C82">
        <v>38</v>
      </c>
      <c r="D82">
        <v>80</v>
      </c>
      <c r="E82">
        <v>9700</v>
      </c>
      <c r="H82" t="s">
        <v>121</v>
      </c>
      <c r="J82" s="202">
        <v>61.431895961670087</v>
      </c>
      <c r="K82">
        <v>1</v>
      </c>
      <c r="L82" t="s">
        <v>346</v>
      </c>
      <c r="M82" t="s">
        <v>70</v>
      </c>
      <c r="N82" t="s">
        <v>504</v>
      </c>
      <c r="O82">
        <v>0</v>
      </c>
      <c r="P82">
        <v>0</v>
      </c>
      <c r="Q82">
        <v>0</v>
      </c>
      <c r="R82">
        <v>1</v>
      </c>
      <c r="S82">
        <v>0</v>
      </c>
      <c r="T82" t="s">
        <v>125</v>
      </c>
      <c r="U82" t="s">
        <v>504</v>
      </c>
      <c r="V82">
        <v>0</v>
      </c>
      <c r="W82">
        <v>0</v>
      </c>
      <c r="X82">
        <v>0</v>
      </c>
      <c r="Y82">
        <v>0</v>
      </c>
      <c r="Z82">
        <v>1</v>
      </c>
      <c r="AA82">
        <v>0</v>
      </c>
      <c r="AD82">
        <v>32.722792607802873</v>
      </c>
      <c r="AE82">
        <v>1</v>
      </c>
      <c r="AF82">
        <v>0</v>
      </c>
      <c r="AG82" t="s">
        <v>388</v>
      </c>
      <c r="AH82">
        <v>0</v>
      </c>
      <c r="AI82" t="s">
        <v>327</v>
      </c>
      <c r="AK82">
        <v>5.1252566735112932</v>
      </c>
      <c r="AL82">
        <v>20.20533880903491</v>
      </c>
      <c r="AM82">
        <v>58.053388090349074</v>
      </c>
      <c r="AN82" s="202">
        <v>1</v>
      </c>
      <c r="AO82">
        <v>1</v>
      </c>
      <c r="AR82">
        <v>2.1428571428571428</v>
      </c>
      <c r="AS82">
        <v>10</v>
      </c>
      <c r="AT82">
        <v>54.5</v>
      </c>
      <c r="AU82">
        <v>545</v>
      </c>
      <c r="AV82">
        <v>1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1</v>
      </c>
      <c r="BD82" s="202">
        <v>1</v>
      </c>
      <c r="BI82" t="s">
        <v>82</v>
      </c>
      <c r="BJ82" s="202">
        <v>31.57289527720739</v>
      </c>
      <c r="BK82" s="202">
        <v>961</v>
      </c>
      <c r="BL82">
        <v>0</v>
      </c>
      <c r="BO82">
        <v>31.57289527720739</v>
      </c>
      <c r="BP82">
        <v>961</v>
      </c>
      <c r="BQ82">
        <v>1</v>
      </c>
      <c r="BS82">
        <v>17.182751540041068</v>
      </c>
      <c r="BT82">
        <v>523</v>
      </c>
      <c r="BU82">
        <v>1</v>
      </c>
      <c r="BX82">
        <v>36663</v>
      </c>
      <c r="BY82">
        <v>17.182751540041068</v>
      </c>
      <c r="BZ82">
        <v>523</v>
      </c>
      <c r="CA82">
        <v>1</v>
      </c>
      <c r="CC82">
        <v>17.182751540041068</v>
      </c>
      <c r="CD82">
        <v>523</v>
      </c>
      <c r="CE82" t="s">
        <v>22</v>
      </c>
      <c r="CF82" t="s">
        <v>83</v>
      </c>
      <c r="CG82">
        <v>1</v>
      </c>
      <c r="CH82">
        <v>7.63</v>
      </c>
    </row>
    <row r="83" spans="3:86">
      <c r="C83">
        <v>43</v>
      </c>
      <c r="D83">
        <v>81</v>
      </c>
      <c r="E83">
        <v>9700</v>
      </c>
      <c r="H83" t="s">
        <v>121</v>
      </c>
      <c r="J83" s="202">
        <v>57.705681040383297</v>
      </c>
      <c r="K83">
        <v>1</v>
      </c>
      <c r="L83" t="s">
        <v>346</v>
      </c>
      <c r="M83" t="s">
        <v>327</v>
      </c>
      <c r="N83" t="s">
        <v>510</v>
      </c>
      <c r="O83">
        <v>0</v>
      </c>
      <c r="P83">
        <v>1</v>
      </c>
      <c r="Q83">
        <v>0</v>
      </c>
      <c r="R83">
        <v>0</v>
      </c>
      <c r="S83">
        <v>0</v>
      </c>
      <c r="T83" t="s">
        <v>493</v>
      </c>
      <c r="U83" t="s">
        <v>402</v>
      </c>
      <c r="V83">
        <v>1</v>
      </c>
      <c r="W83">
        <v>0</v>
      </c>
      <c r="X83">
        <v>0</v>
      </c>
      <c r="Y83">
        <v>0</v>
      </c>
      <c r="Z83">
        <v>0</v>
      </c>
      <c r="AA83">
        <v>0</v>
      </c>
      <c r="AD83">
        <v>0</v>
      </c>
      <c r="AE83">
        <v>0</v>
      </c>
      <c r="AF83">
        <v>0</v>
      </c>
      <c r="AG83" t="s">
        <v>408</v>
      </c>
      <c r="AH83">
        <v>0</v>
      </c>
      <c r="AI83" t="s">
        <v>379</v>
      </c>
      <c r="AK83">
        <v>1.5112936344969199</v>
      </c>
      <c r="AL83">
        <v>0</v>
      </c>
      <c r="AM83">
        <v>1.5112936344969199</v>
      </c>
      <c r="AN83" s="202">
        <v>4</v>
      </c>
      <c r="AO83">
        <v>0</v>
      </c>
      <c r="AR83">
        <v>2</v>
      </c>
      <c r="AS83">
        <v>10</v>
      </c>
      <c r="AT83">
        <v>5</v>
      </c>
      <c r="AU83">
        <v>50</v>
      </c>
      <c r="AV83">
        <v>1</v>
      </c>
      <c r="AW83">
        <v>0</v>
      </c>
      <c r="AX83">
        <v>0</v>
      </c>
      <c r="AY83">
        <v>0</v>
      </c>
      <c r="AZ83">
        <v>1</v>
      </c>
      <c r="BA83">
        <v>0</v>
      </c>
      <c r="BB83">
        <v>0</v>
      </c>
      <c r="BC83">
        <v>2</v>
      </c>
      <c r="BD83" s="202">
        <v>1</v>
      </c>
      <c r="BI83" t="s">
        <v>82</v>
      </c>
      <c r="BJ83" s="202">
        <v>19.318275154004109</v>
      </c>
      <c r="BK83" s="202">
        <v>588.00000000000011</v>
      </c>
      <c r="BL83">
        <v>0</v>
      </c>
      <c r="BO83">
        <v>19.318275154004109</v>
      </c>
      <c r="BP83">
        <v>588.00000000000011</v>
      </c>
      <c r="BQ83">
        <v>1</v>
      </c>
      <c r="BS83">
        <v>5.6509240246406574</v>
      </c>
      <c r="BT83">
        <v>172</v>
      </c>
      <c r="BU83">
        <v>1</v>
      </c>
      <c r="BX83">
        <v>36372</v>
      </c>
      <c r="BY83">
        <v>5.6509240246406574</v>
      </c>
      <c r="BZ83">
        <v>172</v>
      </c>
      <c r="CA83">
        <v>1</v>
      </c>
      <c r="CC83">
        <v>5.6509240246406574</v>
      </c>
      <c r="CD83">
        <v>172</v>
      </c>
      <c r="CE83" t="s">
        <v>38</v>
      </c>
      <c r="CF83" t="s">
        <v>38</v>
      </c>
      <c r="CG83">
        <v>3</v>
      </c>
      <c r="CH83">
        <v>26.07</v>
      </c>
    </row>
    <row r="84" spans="3:86">
      <c r="C84">
        <v>44</v>
      </c>
      <c r="D84">
        <v>82</v>
      </c>
      <c r="E84">
        <v>9700</v>
      </c>
      <c r="H84" t="s">
        <v>121</v>
      </c>
      <c r="J84" s="202">
        <v>67.835728952772072</v>
      </c>
      <c r="K84">
        <v>1</v>
      </c>
      <c r="L84" t="s">
        <v>346</v>
      </c>
      <c r="M84" t="s">
        <v>140</v>
      </c>
      <c r="N84" t="s">
        <v>504</v>
      </c>
      <c r="O84">
        <v>0</v>
      </c>
      <c r="P84">
        <v>0</v>
      </c>
      <c r="Q84">
        <v>0</v>
      </c>
      <c r="R84">
        <v>1</v>
      </c>
      <c r="S84">
        <v>0</v>
      </c>
      <c r="T84" t="s">
        <v>494</v>
      </c>
      <c r="U84" t="s">
        <v>504</v>
      </c>
      <c r="V84">
        <v>0</v>
      </c>
      <c r="W84">
        <v>0</v>
      </c>
      <c r="X84">
        <v>0</v>
      </c>
      <c r="Y84">
        <v>0</v>
      </c>
      <c r="Z84">
        <v>1</v>
      </c>
      <c r="AA84">
        <v>0</v>
      </c>
      <c r="AD84">
        <v>6.4394250513347018</v>
      </c>
      <c r="AE84">
        <v>1</v>
      </c>
      <c r="AF84">
        <v>0</v>
      </c>
      <c r="AG84" t="s">
        <v>391</v>
      </c>
      <c r="AH84">
        <v>0</v>
      </c>
      <c r="AI84" t="s">
        <v>327</v>
      </c>
      <c r="AK84">
        <v>3.482546201232033</v>
      </c>
      <c r="AL84">
        <v>6.4394250513347018</v>
      </c>
      <c r="AM84">
        <v>16.361396303901437</v>
      </c>
      <c r="AN84" s="202">
        <v>5</v>
      </c>
      <c r="AO84">
        <v>0</v>
      </c>
      <c r="AR84">
        <v>1.8571428571428572</v>
      </c>
      <c r="AS84">
        <v>10</v>
      </c>
      <c r="AT84">
        <v>5</v>
      </c>
      <c r="AU84">
        <v>50</v>
      </c>
      <c r="AV84">
        <v>1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1</v>
      </c>
      <c r="BD84" s="202">
        <v>1</v>
      </c>
      <c r="BI84" t="s">
        <v>82</v>
      </c>
      <c r="BJ84" s="202">
        <v>15.540041067761805</v>
      </c>
      <c r="BK84" s="202">
        <v>472.99999999999994</v>
      </c>
      <c r="BL84">
        <v>0</v>
      </c>
      <c r="BO84">
        <v>15.540041067761805</v>
      </c>
      <c r="BP84">
        <v>472.99999999999994</v>
      </c>
      <c r="BQ84">
        <v>1</v>
      </c>
      <c r="BS84">
        <v>3.8439425051334704</v>
      </c>
      <c r="BT84">
        <v>117</v>
      </c>
      <c r="BU84">
        <v>1</v>
      </c>
      <c r="BX84">
        <v>36334</v>
      </c>
      <c r="BY84">
        <v>3.8439425051334704</v>
      </c>
      <c r="BZ84">
        <v>117</v>
      </c>
      <c r="CA84">
        <v>1</v>
      </c>
      <c r="CC84">
        <v>3.8439425051334704</v>
      </c>
      <c r="CD84">
        <v>117</v>
      </c>
      <c r="CE84" t="s">
        <v>88</v>
      </c>
      <c r="CF84" t="s">
        <v>88</v>
      </c>
      <c r="CG84">
        <v>2</v>
      </c>
      <c r="CH84">
        <v>12.33</v>
      </c>
    </row>
    <row r="85" spans="3:86">
      <c r="C85">
        <v>45</v>
      </c>
      <c r="D85">
        <v>83</v>
      </c>
      <c r="E85">
        <v>9700</v>
      </c>
      <c r="H85" t="s">
        <v>121</v>
      </c>
      <c r="J85" s="202">
        <v>67.203285420944553</v>
      </c>
      <c r="K85">
        <v>1</v>
      </c>
      <c r="L85" t="s">
        <v>49</v>
      </c>
      <c r="M85" t="s">
        <v>122</v>
      </c>
      <c r="N85" t="s">
        <v>403</v>
      </c>
      <c r="O85">
        <v>0</v>
      </c>
      <c r="P85">
        <v>0</v>
      </c>
      <c r="Q85">
        <v>1</v>
      </c>
      <c r="R85">
        <v>0</v>
      </c>
      <c r="S85">
        <v>0</v>
      </c>
      <c r="T85" t="s">
        <v>39</v>
      </c>
      <c r="U85" t="s">
        <v>402</v>
      </c>
      <c r="V85">
        <v>1</v>
      </c>
      <c r="W85">
        <v>0</v>
      </c>
      <c r="X85">
        <v>0</v>
      </c>
      <c r="Y85">
        <v>0</v>
      </c>
      <c r="Z85">
        <v>0</v>
      </c>
      <c r="AA85">
        <v>0</v>
      </c>
      <c r="AD85">
        <v>89.034907597535934</v>
      </c>
      <c r="AE85">
        <v>0</v>
      </c>
      <c r="AF85">
        <v>1</v>
      </c>
      <c r="AG85" t="s">
        <v>387</v>
      </c>
      <c r="AH85">
        <v>1</v>
      </c>
      <c r="AI85" t="s">
        <v>327</v>
      </c>
      <c r="AK85">
        <v>4.8952772073921968</v>
      </c>
      <c r="AL85">
        <v>24.180698151950715</v>
      </c>
      <c r="AM85">
        <v>118.11088295687885</v>
      </c>
      <c r="AN85" s="202">
        <v>1</v>
      </c>
      <c r="AO85">
        <v>1</v>
      </c>
      <c r="AR85">
        <v>4</v>
      </c>
      <c r="AS85">
        <v>20</v>
      </c>
      <c r="AT85">
        <v>2.5</v>
      </c>
      <c r="AU85">
        <v>50</v>
      </c>
      <c r="AV85">
        <v>1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1</v>
      </c>
      <c r="BD85" s="202">
        <v>1</v>
      </c>
      <c r="BI85" t="s">
        <v>82</v>
      </c>
      <c r="BJ85" s="202">
        <v>18.33264887063655</v>
      </c>
      <c r="BK85" s="202">
        <v>558</v>
      </c>
      <c r="BL85">
        <v>1</v>
      </c>
      <c r="BN85">
        <v>13.010266940451745</v>
      </c>
      <c r="BO85">
        <v>14.324435318275153</v>
      </c>
      <c r="BP85">
        <v>436</v>
      </c>
      <c r="BQ85">
        <v>1</v>
      </c>
      <c r="BS85">
        <v>11.893223819301848</v>
      </c>
      <c r="BT85">
        <v>362</v>
      </c>
      <c r="BU85">
        <v>2</v>
      </c>
      <c r="BX85">
        <v>36585</v>
      </c>
      <c r="BY85">
        <v>11.893223819301848</v>
      </c>
      <c r="BZ85">
        <v>362</v>
      </c>
      <c r="CA85">
        <v>2</v>
      </c>
      <c r="CC85">
        <v>11.893223819301848</v>
      </c>
      <c r="CD85">
        <v>362</v>
      </c>
      <c r="CE85" t="s">
        <v>38</v>
      </c>
      <c r="CF85" t="s">
        <v>38</v>
      </c>
      <c r="CG85">
        <v>4</v>
      </c>
      <c r="CH85">
        <v>57.29</v>
      </c>
    </row>
    <row r="86" spans="3:86">
      <c r="C86">
        <v>46</v>
      </c>
      <c r="D86">
        <v>84</v>
      </c>
      <c r="E86">
        <v>9700</v>
      </c>
      <c r="H86" t="s">
        <v>121</v>
      </c>
      <c r="J86" s="202">
        <v>50.833675564681727</v>
      </c>
      <c r="K86">
        <v>1</v>
      </c>
      <c r="L86" t="s">
        <v>49</v>
      </c>
      <c r="M86" t="s">
        <v>144</v>
      </c>
      <c r="N86" t="s">
        <v>107</v>
      </c>
      <c r="O86">
        <v>1</v>
      </c>
      <c r="P86">
        <v>0</v>
      </c>
      <c r="Q86">
        <v>0</v>
      </c>
      <c r="R86">
        <v>0</v>
      </c>
      <c r="S86">
        <v>0</v>
      </c>
      <c r="T86" t="s">
        <v>155</v>
      </c>
      <c r="U86" t="s">
        <v>402</v>
      </c>
      <c r="V86">
        <v>1</v>
      </c>
      <c r="W86">
        <v>0</v>
      </c>
      <c r="X86">
        <v>0</v>
      </c>
      <c r="Y86">
        <v>0</v>
      </c>
      <c r="Z86">
        <v>0</v>
      </c>
      <c r="AA86">
        <v>0</v>
      </c>
      <c r="AD86">
        <v>39.030800821355236</v>
      </c>
      <c r="AE86">
        <v>0</v>
      </c>
      <c r="AF86">
        <v>0</v>
      </c>
      <c r="AG86" t="s">
        <v>388</v>
      </c>
      <c r="AH86">
        <v>0</v>
      </c>
      <c r="AI86" t="s">
        <v>327</v>
      </c>
      <c r="AK86">
        <v>24.57494866529774</v>
      </c>
      <c r="AL86">
        <v>0</v>
      </c>
      <c r="AM86">
        <v>63.605749486652975</v>
      </c>
      <c r="AN86" s="202">
        <v>5</v>
      </c>
      <c r="AO86">
        <v>0</v>
      </c>
      <c r="AR86">
        <v>1.8571428571428572</v>
      </c>
      <c r="AS86">
        <v>10</v>
      </c>
      <c r="AT86">
        <v>5</v>
      </c>
      <c r="AU86">
        <v>50</v>
      </c>
      <c r="AV86">
        <v>1</v>
      </c>
      <c r="AW86">
        <v>1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2</v>
      </c>
      <c r="BD86" s="202">
        <v>1</v>
      </c>
      <c r="BI86" t="s">
        <v>82</v>
      </c>
      <c r="BJ86" s="202">
        <v>33.347022587268995</v>
      </c>
      <c r="BK86" s="202">
        <v>1015</v>
      </c>
      <c r="BL86">
        <v>0</v>
      </c>
      <c r="BO86">
        <v>33.347022587268995</v>
      </c>
      <c r="BP86">
        <v>1015</v>
      </c>
      <c r="BQ86">
        <v>1</v>
      </c>
      <c r="BS86">
        <v>32.919917864476389</v>
      </c>
      <c r="BT86">
        <v>1002.0000000000001</v>
      </c>
      <c r="BU86">
        <v>1</v>
      </c>
      <c r="BX86">
        <v>37225</v>
      </c>
      <c r="BY86">
        <v>32.919917864476389</v>
      </c>
      <c r="BZ86">
        <v>1002.0000000000001</v>
      </c>
      <c r="CA86">
        <v>1</v>
      </c>
      <c r="CC86">
        <v>32.919917864476389</v>
      </c>
      <c r="CD86">
        <v>1002.0000000000001</v>
      </c>
      <c r="CE86" t="s">
        <v>22</v>
      </c>
      <c r="CF86" t="s">
        <v>301</v>
      </c>
      <c r="CG86">
        <v>2</v>
      </c>
      <c r="CH86">
        <v>14.97</v>
      </c>
    </row>
    <row r="87" spans="3:86">
      <c r="C87">
        <v>47</v>
      </c>
      <c r="D87">
        <v>85</v>
      </c>
      <c r="E87">
        <v>9700</v>
      </c>
      <c r="H87" t="s">
        <v>121</v>
      </c>
      <c r="J87" s="202">
        <v>50.091718001368925</v>
      </c>
      <c r="K87">
        <v>1</v>
      </c>
      <c r="L87" t="s">
        <v>34</v>
      </c>
      <c r="M87" t="s">
        <v>309</v>
      </c>
      <c r="N87" t="s">
        <v>511</v>
      </c>
      <c r="O87">
        <v>0</v>
      </c>
      <c r="P87">
        <v>0</v>
      </c>
      <c r="Q87">
        <v>0</v>
      </c>
      <c r="R87">
        <v>0</v>
      </c>
      <c r="S87">
        <v>1</v>
      </c>
      <c r="T87" t="s">
        <v>155</v>
      </c>
      <c r="U87" t="s">
        <v>402</v>
      </c>
      <c r="V87">
        <v>1</v>
      </c>
      <c r="W87">
        <v>0</v>
      </c>
      <c r="X87">
        <v>0</v>
      </c>
      <c r="Y87">
        <v>0</v>
      </c>
      <c r="Z87">
        <v>0</v>
      </c>
      <c r="AA87">
        <v>0</v>
      </c>
      <c r="AD87">
        <v>16.689938398357288</v>
      </c>
      <c r="AE87">
        <v>0</v>
      </c>
      <c r="AF87">
        <v>0</v>
      </c>
      <c r="AG87" t="s">
        <v>388</v>
      </c>
      <c r="AH87">
        <v>0</v>
      </c>
      <c r="AI87" t="s">
        <v>315</v>
      </c>
      <c r="AK87">
        <v>1.9383983572895278</v>
      </c>
      <c r="AL87">
        <v>0</v>
      </c>
      <c r="AM87">
        <v>18.628336755646817</v>
      </c>
      <c r="AN87" s="202">
        <v>2</v>
      </c>
      <c r="AO87">
        <v>0</v>
      </c>
      <c r="AR87">
        <v>2</v>
      </c>
      <c r="AS87">
        <v>11</v>
      </c>
      <c r="AT87">
        <v>5</v>
      </c>
      <c r="AU87">
        <v>55</v>
      </c>
      <c r="AV87">
        <v>0</v>
      </c>
      <c r="AW87">
        <v>0</v>
      </c>
      <c r="AX87">
        <v>1</v>
      </c>
      <c r="AY87">
        <v>0</v>
      </c>
      <c r="AZ87">
        <v>0</v>
      </c>
      <c r="BA87">
        <v>0</v>
      </c>
      <c r="BB87">
        <v>0</v>
      </c>
      <c r="BC87">
        <v>1</v>
      </c>
      <c r="BD87" s="202">
        <v>1</v>
      </c>
      <c r="BI87" t="s">
        <v>105</v>
      </c>
      <c r="BJ87" s="202">
        <v>19.449691991786448</v>
      </c>
      <c r="BK87" s="202">
        <v>592</v>
      </c>
      <c r="BL87">
        <v>1</v>
      </c>
      <c r="BN87">
        <v>6.4722792607802875</v>
      </c>
      <c r="BO87">
        <v>6.9979466119096507</v>
      </c>
      <c r="BP87">
        <v>213</v>
      </c>
      <c r="BQ87">
        <v>1</v>
      </c>
      <c r="BS87">
        <v>6.9979466119096507</v>
      </c>
      <c r="BT87">
        <v>213</v>
      </c>
      <c r="BU87">
        <v>1</v>
      </c>
      <c r="BX87">
        <v>36497</v>
      </c>
      <c r="BY87">
        <v>6.9979466119096507</v>
      </c>
      <c r="BZ87">
        <v>213</v>
      </c>
      <c r="CA87">
        <v>1</v>
      </c>
      <c r="CC87">
        <v>6.9979466119096507</v>
      </c>
      <c r="CD87">
        <v>213</v>
      </c>
      <c r="CE87" t="s">
        <v>22</v>
      </c>
      <c r="CF87" t="s">
        <v>166</v>
      </c>
      <c r="CG87">
        <v>3</v>
      </c>
      <c r="CH87">
        <v>23.34</v>
      </c>
    </row>
    <row r="88" spans="3:86">
      <c r="C88">
        <v>51</v>
      </c>
      <c r="D88">
        <v>86</v>
      </c>
      <c r="E88">
        <v>9700</v>
      </c>
      <c r="H88" t="s">
        <v>121</v>
      </c>
      <c r="J88" s="202">
        <v>45.092402464065707</v>
      </c>
      <c r="K88">
        <v>1</v>
      </c>
      <c r="L88" t="s">
        <v>346</v>
      </c>
      <c r="M88" t="s">
        <v>31</v>
      </c>
      <c r="N88" t="s">
        <v>504</v>
      </c>
      <c r="O88">
        <v>0</v>
      </c>
      <c r="P88">
        <v>0</v>
      </c>
      <c r="Q88">
        <v>0</v>
      </c>
      <c r="R88">
        <v>1</v>
      </c>
      <c r="S88">
        <v>0</v>
      </c>
      <c r="T88" t="s">
        <v>179</v>
      </c>
      <c r="U88" t="s">
        <v>504</v>
      </c>
      <c r="V88">
        <v>0</v>
      </c>
      <c r="W88">
        <v>0</v>
      </c>
      <c r="X88">
        <v>0</v>
      </c>
      <c r="Y88">
        <v>0</v>
      </c>
      <c r="Z88">
        <v>1</v>
      </c>
      <c r="AA88">
        <v>0</v>
      </c>
      <c r="AD88">
        <v>21.749486652977414</v>
      </c>
      <c r="AE88">
        <v>1</v>
      </c>
      <c r="AF88">
        <v>1</v>
      </c>
      <c r="AG88" t="s">
        <v>390</v>
      </c>
      <c r="AH88">
        <v>1</v>
      </c>
      <c r="AI88" t="s">
        <v>327</v>
      </c>
      <c r="AK88">
        <v>8.6078028747433262</v>
      </c>
      <c r="AL88">
        <v>0</v>
      </c>
      <c r="AM88">
        <v>30.357289527720738</v>
      </c>
      <c r="AN88" s="202">
        <v>4</v>
      </c>
      <c r="AO88">
        <v>0</v>
      </c>
      <c r="AR88">
        <v>2.1428571428571428</v>
      </c>
      <c r="AS88">
        <v>11</v>
      </c>
      <c r="AT88">
        <v>5</v>
      </c>
      <c r="AU88">
        <v>55</v>
      </c>
      <c r="AV88">
        <v>1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1</v>
      </c>
      <c r="BD88" s="202">
        <v>1</v>
      </c>
      <c r="BI88" t="s">
        <v>82</v>
      </c>
      <c r="BJ88" s="202">
        <v>15.31006160164271</v>
      </c>
      <c r="BK88" s="202">
        <v>466</v>
      </c>
      <c r="BL88">
        <v>0</v>
      </c>
      <c r="BO88">
        <v>15.31006160164271</v>
      </c>
      <c r="BP88">
        <v>466</v>
      </c>
      <c r="BQ88">
        <v>1</v>
      </c>
      <c r="BS88">
        <v>6.1437371663244349</v>
      </c>
      <c r="BT88">
        <v>187</v>
      </c>
      <c r="BU88">
        <v>1</v>
      </c>
      <c r="BX88">
        <v>36510</v>
      </c>
      <c r="BY88">
        <v>6.1437371663244349</v>
      </c>
      <c r="BZ88">
        <v>187</v>
      </c>
      <c r="CA88">
        <v>1</v>
      </c>
      <c r="CC88">
        <v>6.1437371663244349</v>
      </c>
      <c r="CD88">
        <v>187</v>
      </c>
      <c r="CE88" t="s">
        <v>22</v>
      </c>
      <c r="CF88" t="s">
        <v>145</v>
      </c>
      <c r="CG88">
        <v>2</v>
      </c>
      <c r="CH88">
        <v>10.02</v>
      </c>
    </row>
    <row r="89" spans="3:86">
      <c r="C89">
        <v>52</v>
      </c>
      <c r="D89">
        <v>87</v>
      </c>
      <c r="E89">
        <v>9700</v>
      </c>
      <c r="H89" t="s">
        <v>121</v>
      </c>
      <c r="J89" s="202">
        <v>70.499657768651602</v>
      </c>
      <c r="K89">
        <v>0</v>
      </c>
      <c r="L89" t="s">
        <v>68</v>
      </c>
      <c r="M89" t="s">
        <v>264</v>
      </c>
      <c r="N89" t="s">
        <v>510</v>
      </c>
      <c r="O89">
        <v>0</v>
      </c>
      <c r="P89">
        <v>1</v>
      </c>
      <c r="Q89">
        <v>0</v>
      </c>
      <c r="R89">
        <v>0</v>
      </c>
      <c r="S89">
        <v>0</v>
      </c>
      <c r="T89" t="s">
        <v>35</v>
      </c>
      <c r="U89" t="s">
        <v>507</v>
      </c>
      <c r="V89">
        <v>0</v>
      </c>
      <c r="W89">
        <v>1</v>
      </c>
      <c r="X89">
        <v>0</v>
      </c>
      <c r="Y89">
        <v>0</v>
      </c>
      <c r="Z89">
        <v>0</v>
      </c>
      <c r="AA89">
        <v>0</v>
      </c>
      <c r="AD89">
        <v>12.451745379876797</v>
      </c>
      <c r="AE89">
        <v>1</v>
      </c>
      <c r="AF89">
        <v>0</v>
      </c>
      <c r="AG89" t="s">
        <v>388</v>
      </c>
      <c r="AH89">
        <v>0</v>
      </c>
      <c r="AI89" t="s">
        <v>327</v>
      </c>
      <c r="AK89">
        <v>0.95277207392197127</v>
      </c>
      <c r="AL89">
        <v>0</v>
      </c>
      <c r="AM89">
        <v>13.404517453798768</v>
      </c>
      <c r="AN89" s="202">
        <v>3</v>
      </c>
      <c r="AO89">
        <v>0</v>
      </c>
      <c r="AR89">
        <v>2.5714285714285716</v>
      </c>
      <c r="AS89">
        <v>13</v>
      </c>
      <c r="AT89">
        <v>4</v>
      </c>
      <c r="AU89">
        <v>52</v>
      </c>
      <c r="AV89">
        <v>1</v>
      </c>
      <c r="AW89">
        <v>1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2</v>
      </c>
      <c r="BD89" s="202">
        <v>1</v>
      </c>
      <c r="BI89" t="s">
        <v>82</v>
      </c>
      <c r="BJ89" s="202">
        <v>7.655030800821355</v>
      </c>
      <c r="BK89" s="202">
        <v>233</v>
      </c>
      <c r="BL89">
        <v>0</v>
      </c>
      <c r="BO89">
        <v>7.655030800821355</v>
      </c>
      <c r="BP89">
        <v>233</v>
      </c>
      <c r="BQ89">
        <v>1</v>
      </c>
      <c r="BS89">
        <v>4.862422997946612</v>
      </c>
      <c r="BT89">
        <v>148</v>
      </c>
      <c r="BU89">
        <v>1</v>
      </c>
      <c r="BX89">
        <v>36502</v>
      </c>
      <c r="BY89">
        <v>4.862422997946612</v>
      </c>
      <c r="BZ89">
        <v>148</v>
      </c>
      <c r="CA89">
        <v>1</v>
      </c>
      <c r="CC89">
        <v>4.862422997946612</v>
      </c>
      <c r="CD89">
        <v>148</v>
      </c>
      <c r="CE89" t="s">
        <v>22</v>
      </c>
      <c r="CF89" t="s">
        <v>159</v>
      </c>
      <c r="CG89">
        <v>5</v>
      </c>
      <c r="CH89">
        <v>124.6</v>
      </c>
    </row>
    <row r="90" spans="3:86">
      <c r="C90">
        <v>53</v>
      </c>
      <c r="D90">
        <v>88</v>
      </c>
      <c r="E90">
        <v>9700</v>
      </c>
      <c r="H90" t="s">
        <v>121</v>
      </c>
      <c r="J90" s="202">
        <v>56.40520191649555</v>
      </c>
      <c r="K90">
        <v>0</v>
      </c>
      <c r="L90" t="s">
        <v>49</v>
      </c>
      <c r="M90" t="s">
        <v>327</v>
      </c>
      <c r="N90" t="s">
        <v>510</v>
      </c>
      <c r="O90">
        <v>0</v>
      </c>
      <c r="P90">
        <v>1</v>
      </c>
      <c r="Q90">
        <v>0</v>
      </c>
      <c r="R90">
        <v>0</v>
      </c>
      <c r="S90">
        <v>0</v>
      </c>
      <c r="T90" t="s">
        <v>66</v>
      </c>
      <c r="U90" t="s">
        <v>509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D90">
        <v>0</v>
      </c>
      <c r="AE90">
        <v>0</v>
      </c>
      <c r="AF90">
        <v>0</v>
      </c>
      <c r="AG90" t="s">
        <v>389</v>
      </c>
      <c r="AH90">
        <v>1</v>
      </c>
      <c r="AI90" t="s">
        <v>1</v>
      </c>
      <c r="AK90">
        <v>4.9938398357289531</v>
      </c>
      <c r="AL90">
        <v>0</v>
      </c>
      <c r="AM90">
        <v>4.9938398357289531</v>
      </c>
      <c r="AN90" s="202">
        <v>3</v>
      </c>
      <c r="AO90">
        <v>0</v>
      </c>
      <c r="AR90">
        <v>1.5714285714285714</v>
      </c>
      <c r="AS90">
        <v>10</v>
      </c>
      <c r="AT90">
        <v>42.5</v>
      </c>
      <c r="AU90">
        <v>425</v>
      </c>
      <c r="AV90">
        <v>1</v>
      </c>
      <c r="AW90">
        <v>1</v>
      </c>
      <c r="AX90">
        <v>0</v>
      </c>
      <c r="AY90">
        <v>1</v>
      </c>
      <c r="AZ90">
        <v>0</v>
      </c>
      <c r="BA90">
        <v>0</v>
      </c>
      <c r="BB90">
        <v>0</v>
      </c>
      <c r="BC90">
        <v>3</v>
      </c>
      <c r="BD90" s="202">
        <v>1</v>
      </c>
      <c r="BI90" t="s">
        <v>295</v>
      </c>
      <c r="BJ90" s="202">
        <v>4.6981519507186853</v>
      </c>
      <c r="BK90" s="202">
        <v>142.99999999999997</v>
      </c>
      <c r="BL90">
        <v>0</v>
      </c>
      <c r="BO90">
        <v>4.6981519507186853</v>
      </c>
      <c r="BP90">
        <v>142.99999999999997</v>
      </c>
      <c r="BQ90">
        <v>1</v>
      </c>
      <c r="BS90">
        <v>4.3367556468172488</v>
      </c>
      <c r="BT90">
        <v>132.00000000000003</v>
      </c>
      <c r="BU90">
        <v>1</v>
      </c>
      <c r="BX90">
        <v>36489</v>
      </c>
      <c r="BY90">
        <v>4.3367556468172488</v>
      </c>
      <c r="BZ90">
        <v>132.00000000000003</v>
      </c>
      <c r="CA90">
        <v>1</v>
      </c>
      <c r="CC90">
        <v>4.3367556468172488</v>
      </c>
      <c r="CD90">
        <v>132.00000000000003</v>
      </c>
      <c r="CE90" t="s">
        <v>22</v>
      </c>
      <c r="CF90" t="s">
        <v>296</v>
      </c>
      <c r="CG90">
        <v>5</v>
      </c>
      <c r="CH90">
        <v>100.65</v>
      </c>
    </row>
    <row r="91" spans="3:86">
      <c r="C91">
        <v>54</v>
      </c>
      <c r="D91">
        <v>89</v>
      </c>
      <c r="E91">
        <v>9700</v>
      </c>
      <c r="H91" t="s">
        <v>121</v>
      </c>
      <c r="J91" s="202">
        <v>56.555783709787818</v>
      </c>
      <c r="K91">
        <v>0</v>
      </c>
      <c r="L91" t="s">
        <v>49</v>
      </c>
      <c r="M91" t="s">
        <v>239</v>
      </c>
      <c r="N91" t="s">
        <v>107</v>
      </c>
      <c r="O91">
        <v>1</v>
      </c>
      <c r="P91">
        <v>0</v>
      </c>
      <c r="Q91">
        <v>0</v>
      </c>
      <c r="R91">
        <v>0</v>
      </c>
      <c r="S91">
        <v>0</v>
      </c>
      <c r="T91" t="s">
        <v>155</v>
      </c>
      <c r="U91" t="s">
        <v>402</v>
      </c>
      <c r="V91">
        <v>1</v>
      </c>
      <c r="W91">
        <v>0</v>
      </c>
      <c r="X91">
        <v>0</v>
      </c>
      <c r="Y91">
        <v>0</v>
      </c>
      <c r="Z91">
        <v>0</v>
      </c>
      <c r="AA91">
        <v>0</v>
      </c>
      <c r="AD91">
        <v>17.97125256673511</v>
      </c>
      <c r="AE91">
        <v>1</v>
      </c>
      <c r="AF91">
        <v>0</v>
      </c>
      <c r="AG91" t="s">
        <v>388</v>
      </c>
      <c r="AH91">
        <v>0</v>
      </c>
      <c r="AI91" t="s">
        <v>379</v>
      </c>
      <c r="AK91">
        <v>0.68993839835728954</v>
      </c>
      <c r="AL91">
        <v>13.831622176591374</v>
      </c>
      <c r="AM91">
        <v>32.492813141683776</v>
      </c>
      <c r="AN91" s="202">
        <v>2</v>
      </c>
      <c r="AO91">
        <v>0</v>
      </c>
      <c r="AR91">
        <v>2</v>
      </c>
      <c r="AS91">
        <v>11</v>
      </c>
      <c r="AT91">
        <v>5</v>
      </c>
      <c r="AU91">
        <v>55</v>
      </c>
      <c r="AV91">
        <v>1</v>
      </c>
      <c r="AW91">
        <v>0</v>
      </c>
      <c r="AX91">
        <v>0</v>
      </c>
      <c r="AY91">
        <v>0</v>
      </c>
      <c r="AZ91">
        <v>1</v>
      </c>
      <c r="BA91">
        <v>0</v>
      </c>
      <c r="BB91">
        <v>0</v>
      </c>
      <c r="BC91">
        <v>2</v>
      </c>
      <c r="BD91" s="202">
        <v>1</v>
      </c>
      <c r="BI91" t="s">
        <v>82</v>
      </c>
      <c r="BJ91" s="202">
        <v>28.550308008213548</v>
      </c>
      <c r="BK91" s="202">
        <v>868.99999999999989</v>
      </c>
      <c r="BL91">
        <v>0</v>
      </c>
      <c r="BO91">
        <v>28.550308008213548</v>
      </c>
      <c r="BP91">
        <v>868.99999999999989</v>
      </c>
      <c r="BQ91">
        <v>1</v>
      </c>
      <c r="BS91">
        <v>7.4250513347022586</v>
      </c>
      <c r="BT91">
        <v>226</v>
      </c>
      <c r="BU91">
        <v>1</v>
      </c>
      <c r="BX91">
        <v>36567</v>
      </c>
      <c r="BY91">
        <v>7.4250513347022586</v>
      </c>
      <c r="BZ91">
        <v>226</v>
      </c>
      <c r="CA91">
        <v>1</v>
      </c>
      <c r="CC91">
        <v>7.4250513347022586</v>
      </c>
      <c r="CD91">
        <v>226</v>
      </c>
      <c r="CE91" t="s">
        <v>38</v>
      </c>
      <c r="CF91" t="s">
        <v>38</v>
      </c>
      <c r="CG91">
        <v>1</v>
      </c>
      <c r="CH91">
        <v>8.7100000000000009</v>
      </c>
    </row>
    <row r="92" spans="3:86">
      <c r="C92">
        <v>55</v>
      </c>
      <c r="D92">
        <v>90</v>
      </c>
      <c r="E92">
        <v>9700</v>
      </c>
      <c r="H92" t="s">
        <v>121</v>
      </c>
      <c r="J92" s="202">
        <v>61.023956194387409</v>
      </c>
      <c r="K92">
        <v>0</v>
      </c>
      <c r="L92" t="s">
        <v>49</v>
      </c>
      <c r="M92" t="s">
        <v>327</v>
      </c>
      <c r="N92" t="s">
        <v>510</v>
      </c>
      <c r="O92">
        <v>0</v>
      </c>
      <c r="P92">
        <v>1</v>
      </c>
      <c r="Q92">
        <v>0</v>
      </c>
      <c r="R92">
        <v>0</v>
      </c>
      <c r="S92">
        <v>0</v>
      </c>
      <c r="T92" t="s">
        <v>155</v>
      </c>
      <c r="U92" t="s">
        <v>402</v>
      </c>
      <c r="V92">
        <v>1</v>
      </c>
      <c r="W92">
        <v>0</v>
      </c>
      <c r="X92">
        <v>0</v>
      </c>
      <c r="Y92">
        <v>0</v>
      </c>
      <c r="Z92">
        <v>0</v>
      </c>
      <c r="AA92">
        <v>0</v>
      </c>
      <c r="AD92">
        <v>0</v>
      </c>
      <c r="AE92">
        <v>1</v>
      </c>
      <c r="AF92">
        <v>0</v>
      </c>
      <c r="AG92" t="s">
        <v>389</v>
      </c>
      <c r="AH92">
        <v>1</v>
      </c>
      <c r="AI92" t="s">
        <v>327</v>
      </c>
      <c r="AK92">
        <v>15.93429158110883</v>
      </c>
      <c r="AL92">
        <v>0</v>
      </c>
      <c r="AM92">
        <v>15.93429158110883</v>
      </c>
      <c r="AN92" s="202">
        <v>2</v>
      </c>
      <c r="AO92">
        <v>0</v>
      </c>
      <c r="AR92">
        <v>2</v>
      </c>
      <c r="AS92">
        <v>10</v>
      </c>
      <c r="AT92">
        <v>5</v>
      </c>
      <c r="AU92">
        <v>50</v>
      </c>
      <c r="AV92">
        <v>1</v>
      </c>
      <c r="AW92">
        <v>0</v>
      </c>
      <c r="AX92">
        <v>0</v>
      </c>
      <c r="AY92">
        <v>0</v>
      </c>
      <c r="AZ92">
        <v>1</v>
      </c>
      <c r="BA92">
        <v>0</v>
      </c>
      <c r="BB92">
        <v>0</v>
      </c>
      <c r="BC92">
        <v>2</v>
      </c>
      <c r="BD92" s="202">
        <v>1</v>
      </c>
      <c r="BI92" t="s">
        <v>82</v>
      </c>
      <c r="BJ92" s="202">
        <v>11.433264887063656</v>
      </c>
      <c r="BK92" s="202">
        <v>348</v>
      </c>
      <c r="BL92">
        <v>0</v>
      </c>
      <c r="BO92">
        <v>11.433264887063656</v>
      </c>
      <c r="BP92">
        <v>348</v>
      </c>
      <c r="BQ92">
        <v>1</v>
      </c>
      <c r="BS92">
        <v>11.433264887063656</v>
      </c>
      <c r="BT92">
        <v>348</v>
      </c>
      <c r="BU92">
        <v>1</v>
      </c>
      <c r="BX92">
        <v>36732</v>
      </c>
      <c r="BY92">
        <v>11.433264887063656</v>
      </c>
      <c r="BZ92">
        <v>348</v>
      </c>
      <c r="CA92">
        <v>1</v>
      </c>
      <c r="CC92">
        <v>11.433264887063656</v>
      </c>
      <c r="CD92">
        <v>348</v>
      </c>
      <c r="CE92" t="s">
        <v>38</v>
      </c>
      <c r="CF92" t="s">
        <v>38</v>
      </c>
      <c r="CG92">
        <v>4</v>
      </c>
      <c r="CH92">
        <v>51.13</v>
      </c>
    </row>
    <row r="93" spans="3:86">
      <c r="C93">
        <v>57</v>
      </c>
      <c r="D93">
        <v>91</v>
      </c>
      <c r="E93">
        <v>9700</v>
      </c>
      <c r="H93" t="s">
        <v>121</v>
      </c>
      <c r="J93" s="202">
        <v>69.169062286105401</v>
      </c>
      <c r="K93">
        <v>0</v>
      </c>
      <c r="L93" t="s">
        <v>49</v>
      </c>
      <c r="M93" t="s">
        <v>128</v>
      </c>
      <c r="N93" t="s">
        <v>107</v>
      </c>
      <c r="O93">
        <v>1</v>
      </c>
      <c r="P93">
        <v>0</v>
      </c>
      <c r="Q93">
        <v>0</v>
      </c>
      <c r="R93">
        <v>0</v>
      </c>
      <c r="S93">
        <v>0</v>
      </c>
      <c r="T93" t="s">
        <v>155</v>
      </c>
      <c r="U93" t="s">
        <v>402</v>
      </c>
      <c r="V93">
        <v>1</v>
      </c>
      <c r="W93">
        <v>0</v>
      </c>
      <c r="X93">
        <v>0</v>
      </c>
      <c r="Y93">
        <v>0</v>
      </c>
      <c r="Z93">
        <v>0</v>
      </c>
      <c r="AA93">
        <v>0</v>
      </c>
      <c r="AD93">
        <v>2.431211498973306</v>
      </c>
      <c r="AE93">
        <v>0</v>
      </c>
      <c r="AF93">
        <v>0</v>
      </c>
      <c r="AG93" t="s">
        <v>389</v>
      </c>
      <c r="AH93">
        <v>1</v>
      </c>
      <c r="AI93" t="s">
        <v>340</v>
      </c>
      <c r="AK93">
        <v>23.162217659137578</v>
      </c>
      <c r="AL93">
        <v>0</v>
      </c>
      <c r="AM93">
        <v>25.593429158110883</v>
      </c>
      <c r="AN93" s="202">
        <v>5</v>
      </c>
      <c r="AO93">
        <v>0</v>
      </c>
      <c r="AR93">
        <v>1.8571428571428572</v>
      </c>
      <c r="AS93">
        <v>10</v>
      </c>
      <c r="AT93">
        <v>5</v>
      </c>
      <c r="AU93">
        <v>50</v>
      </c>
      <c r="AV93">
        <v>1</v>
      </c>
      <c r="AW93">
        <v>1</v>
      </c>
      <c r="AX93">
        <v>1</v>
      </c>
      <c r="AY93">
        <v>0</v>
      </c>
      <c r="AZ93">
        <v>0</v>
      </c>
      <c r="BA93">
        <v>0</v>
      </c>
      <c r="BB93">
        <v>0</v>
      </c>
      <c r="BC93">
        <v>3</v>
      </c>
      <c r="BD93" s="202">
        <v>1</v>
      </c>
      <c r="BI93" t="s">
        <v>82</v>
      </c>
      <c r="BJ93" s="202">
        <v>20.336755646817249</v>
      </c>
      <c r="BK93" s="202">
        <v>619</v>
      </c>
      <c r="BL93">
        <v>1</v>
      </c>
      <c r="BN93">
        <v>5.7823408624229984</v>
      </c>
      <c r="BO93">
        <v>8.5749486652977414</v>
      </c>
      <c r="BP93">
        <v>261</v>
      </c>
      <c r="BQ93">
        <v>1</v>
      </c>
      <c r="BS93">
        <v>8.5749486652977414</v>
      </c>
      <c r="BT93">
        <v>261</v>
      </c>
      <c r="BU93">
        <v>1</v>
      </c>
      <c r="BX93">
        <v>36665</v>
      </c>
      <c r="BY93">
        <v>8.5749486652977414</v>
      </c>
      <c r="BZ93">
        <v>261</v>
      </c>
      <c r="CA93">
        <v>1</v>
      </c>
      <c r="CC93">
        <v>8.5749486652977414</v>
      </c>
      <c r="CD93">
        <v>261</v>
      </c>
      <c r="CE93" t="s">
        <v>38</v>
      </c>
      <c r="CF93" t="s">
        <v>38</v>
      </c>
      <c r="CG93">
        <v>3</v>
      </c>
      <c r="CH93">
        <v>23.290000000000003</v>
      </c>
    </row>
    <row r="94" spans="3:86">
      <c r="C94">
        <v>60</v>
      </c>
      <c r="D94">
        <v>92</v>
      </c>
      <c r="E94">
        <v>9700</v>
      </c>
      <c r="H94" t="s">
        <v>121</v>
      </c>
      <c r="J94" s="202">
        <v>64.394250513347018</v>
      </c>
      <c r="K94">
        <v>0</v>
      </c>
      <c r="L94" t="s">
        <v>49</v>
      </c>
      <c r="M94" t="s">
        <v>128</v>
      </c>
      <c r="N94" t="s">
        <v>107</v>
      </c>
      <c r="O94">
        <v>1</v>
      </c>
      <c r="P94">
        <v>0</v>
      </c>
      <c r="Q94">
        <v>0</v>
      </c>
      <c r="R94">
        <v>0</v>
      </c>
      <c r="S94">
        <v>0</v>
      </c>
      <c r="T94" t="s">
        <v>155</v>
      </c>
      <c r="U94" t="s">
        <v>402</v>
      </c>
      <c r="V94">
        <v>1</v>
      </c>
      <c r="W94">
        <v>0</v>
      </c>
      <c r="X94">
        <v>0</v>
      </c>
      <c r="Y94">
        <v>0</v>
      </c>
      <c r="Z94">
        <v>0</v>
      </c>
      <c r="AA94">
        <v>0</v>
      </c>
      <c r="AD94">
        <v>16.492813141683779</v>
      </c>
      <c r="AE94">
        <v>0</v>
      </c>
      <c r="AF94">
        <v>0</v>
      </c>
      <c r="AG94" t="s">
        <v>387</v>
      </c>
      <c r="AH94">
        <v>1</v>
      </c>
      <c r="AI94" t="s">
        <v>270</v>
      </c>
      <c r="AK94">
        <v>5.7823408624229984</v>
      </c>
      <c r="AL94">
        <v>0</v>
      </c>
      <c r="AM94">
        <v>22.275154004106778</v>
      </c>
      <c r="AN94" s="202">
        <v>3</v>
      </c>
      <c r="AO94">
        <v>0</v>
      </c>
      <c r="AR94">
        <v>1.5714285714285714</v>
      </c>
      <c r="AS94">
        <v>10</v>
      </c>
      <c r="AT94">
        <v>5</v>
      </c>
      <c r="AU94">
        <v>50</v>
      </c>
      <c r="AV94">
        <v>0</v>
      </c>
      <c r="AW94">
        <v>0</v>
      </c>
      <c r="AX94">
        <v>1</v>
      </c>
      <c r="AY94">
        <v>0</v>
      </c>
      <c r="AZ94">
        <v>0</v>
      </c>
      <c r="BA94">
        <v>0</v>
      </c>
      <c r="BB94">
        <v>0</v>
      </c>
      <c r="BC94">
        <v>1</v>
      </c>
      <c r="BD94" s="202">
        <v>1</v>
      </c>
      <c r="BI94" t="s">
        <v>82</v>
      </c>
      <c r="BJ94" s="202">
        <v>28.714579055441479</v>
      </c>
      <c r="BK94" s="202">
        <v>874</v>
      </c>
      <c r="BL94">
        <v>0</v>
      </c>
      <c r="BO94">
        <v>28.714579055441479</v>
      </c>
      <c r="BP94">
        <v>874</v>
      </c>
      <c r="BQ94">
        <v>1</v>
      </c>
      <c r="BS94">
        <v>5.0924024640657084</v>
      </c>
      <c r="BT94">
        <v>155</v>
      </c>
      <c r="BU94">
        <v>1</v>
      </c>
      <c r="BX94">
        <v>36581</v>
      </c>
      <c r="BY94">
        <v>5.0924024640657084</v>
      </c>
      <c r="BZ94">
        <v>155</v>
      </c>
      <c r="CA94">
        <v>1</v>
      </c>
      <c r="CC94">
        <v>5.0924024640657084</v>
      </c>
      <c r="CD94">
        <v>155</v>
      </c>
      <c r="CE94" t="s">
        <v>38</v>
      </c>
      <c r="CF94" t="s">
        <v>38</v>
      </c>
      <c r="CG94">
        <v>2</v>
      </c>
      <c r="CH94">
        <v>15</v>
      </c>
    </row>
    <row r="95" spans="3:86">
      <c r="C95">
        <v>63</v>
      </c>
      <c r="D95">
        <v>93</v>
      </c>
      <c r="E95">
        <v>9700</v>
      </c>
      <c r="H95" t="s">
        <v>50</v>
      </c>
      <c r="J95" s="202">
        <v>59.964407939767284</v>
      </c>
      <c r="K95">
        <v>0</v>
      </c>
      <c r="L95" t="s">
        <v>51</v>
      </c>
      <c r="M95" t="s">
        <v>168</v>
      </c>
      <c r="N95" t="s">
        <v>510</v>
      </c>
      <c r="O95">
        <v>0</v>
      </c>
      <c r="P95">
        <v>1</v>
      </c>
      <c r="Q95">
        <v>0</v>
      </c>
      <c r="R95">
        <v>0</v>
      </c>
      <c r="S95">
        <v>0</v>
      </c>
      <c r="T95" t="s">
        <v>155</v>
      </c>
      <c r="U95" t="s">
        <v>402</v>
      </c>
      <c r="V95">
        <v>1</v>
      </c>
      <c r="W95">
        <v>0</v>
      </c>
      <c r="X95">
        <v>0</v>
      </c>
      <c r="Y95">
        <v>0</v>
      </c>
      <c r="Z95">
        <v>0</v>
      </c>
      <c r="AA95">
        <v>0</v>
      </c>
      <c r="AD95">
        <v>21.355236139630392</v>
      </c>
      <c r="AE95">
        <v>0</v>
      </c>
      <c r="AF95">
        <v>0</v>
      </c>
      <c r="AG95" t="s">
        <v>387</v>
      </c>
      <c r="AH95">
        <v>1</v>
      </c>
      <c r="AI95" t="s">
        <v>270</v>
      </c>
      <c r="AK95">
        <v>4.7638603696098567</v>
      </c>
      <c r="AL95">
        <v>0</v>
      </c>
      <c r="AM95">
        <v>26.119096509240247</v>
      </c>
      <c r="AN95" s="202">
        <v>2</v>
      </c>
      <c r="AO95">
        <v>0</v>
      </c>
      <c r="AR95">
        <v>2</v>
      </c>
      <c r="AS95">
        <v>10</v>
      </c>
      <c r="AT95">
        <v>5</v>
      </c>
      <c r="AU95">
        <v>50</v>
      </c>
      <c r="AV95">
        <v>0</v>
      </c>
      <c r="AW95">
        <v>0</v>
      </c>
      <c r="AX95">
        <v>1</v>
      </c>
      <c r="AY95">
        <v>0</v>
      </c>
      <c r="AZ95">
        <v>0</v>
      </c>
      <c r="BA95">
        <v>0</v>
      </c>
      <c r="BB95">
        <v>0</v>
      </c>
      <c r="BC95">
        <v>1</v>
      </c>
      <c r="BD95" s="202">
        <v>1</v>
      </c>
      <c r="BI95" t="s">
        <v>82</v>
      </c>
      <c r="BJ95" s="202">
        <v>35.613963039014379</v>
      </c>
      <c r="BK95" s="202">
        <v>1084.0000000000002</v>
      </c>
      <c r="BL95">
        <v>0</v>
      </c>
      <c r="BO95">
        <v>35.613963039014379</v>
      </c>
      <c r="BP95">
        <v>1084.0000000000002</v>
      </c>
      <c r="BQ95">
        <v>1</v>
      </c>
      <c r="BS95">
        <v>7.6221765913757702</v>
      </c>
      <c r="BT95">
        <v>232</v>
      </c>
      <c r="BU95">
        <v>1</v>
      </c>
      <c r="BX95">
        <v>36691</v>
      </c>
      <c r="BY95">
        <v>7.6221765913757702</v>
      </c>
      <c r="BZ95">
        <v>232</v>
      </c>
      <c r="CA95">
        <v>1</v>
      </c>
      <c r="CC95">
        <v>7.6221765913757702</v>
      </c>
      <c r="CD95">
        <v>232</v>
      </c>
      <c r="CE95" t="s">
        <v>38</v>
      </c>
      <c r="CF95" t="s">
        <v>38</v>
      </c>
      <c r="CG95">
        <v>3</v>
      </c>
      <c r="CH95">
        <v>27.35</v>
      </c>
    </row>
    <row r="96" spans="3:86">
      <c r="C96">
        <v>66</v>
      </c>
      <c r="D96">
        <v>94</v>
      </c>
      <c r="E96">
        <v>9700</v>
      </c>
      <c r="H96" t="s">
        <v>121</v>
      </c>
      <c r="J96" s="202">
        <v>62.395619438740589</v>
      </c>
      <c r="K96">
        <v>0</v>
      </c>
      <c r="L96" t="s">
        <v>49</v>
      </c>
      <c r="M96" t="s">
        <v>309</v>
      </c>
      <c r="N96" t="s">
        <v>509</v>
      </c>
      <c r="O96">
        <v>0</v>
      </c>
      <c r="P96">
        <v>0</v>
      </c>
      <c r="Q96">
        <v>0</v>
      </c>
      <c r="R96">
        <v>0</v>
      </c>
      <c r="S96">
        <v>0</v>
      </c>
      <c r="T96" t="s">
        <v>12</v>
      </c>
      <c r="U96" t="s">
        <v>508</v>
      </c>
      <c r="V96">
        <v>0</v>
      </c>
      <c r="W96">
        <v>0</v>
      </c>
      <c r="X96">
        <v>0</v>
      </c>
      <c r="Y96">
        <v>1</v>
      </c>
      <c r="Z96">
        <v>0</v>
      </c>
      <c r="AA96">
        <v>0</v>
      </c>
      <c r="AD96">
        <v>4.5667351129363452</v>
      </c>
      <c r="AE96">
        <v>0</v>
      </c>
      <c r="AF96">
        <v>1</v>
      </c>
      <c r="AG96" t="s">
        <v>387</v>
      </c>
      <c r="AH96">
        <v>1</v>
      </c>
      <c r="AI96" t="s">
        <v>270</v>
      </c>
      <c r="AK96">
        <v>24.804928131416837</v>
      </c>
      <c r="AL96">
        <v>0</v>
      </c>
      <c r="AM96">
        <v>29.371663244353183</v>
      </c>
      <c r="AN96" s="202">
        <v>2</v>
      </c>
      <c r="AO96">
        <v>0</v>
      </c>
      <c r="AR96">
        <v>1.8571428571428572</v>
      </c>
      <c r="AS96">
        <v>10</v>
      </c>
      <c r="AT96">
        <v>5</v>
      </c>
      <c r="AU96">
        <v>50</v>
      </c>
      <c r="AV96">
        <v>0</v>
      </c>
      <c r="AW96">
        <v>0</v>
      </c>
      <c r="AX96">
        <v>1</v>
      </c>
      <c r="AY96">
        <v>0</v>
      </c>
      <c r="AZ96">
        <v>0</v>
      </c>
      <c r="BA96">
        <v>0</v>
      </c>
      <c r="BB96">
        <v>0</v>
      </c>
      <c r="BC96">
        <v>1</v>
      </c>
      <c r="BD96" s="202">
        <v>1</v>
      </c>
      <c r="BI96" t="s">
        <v>82</v>
      </c>
      <c r="BJ96" s="202">
        <v>23.096509240246405</v>
      </c>
      <c r="BK96" s="202">
        <v>703</v>
      </c>
      <c r="BL96">
        <v>0</v>
      </c>
      <c r="BO96">
        <v>23.096509240246405</v>
      </c>
      <c r="BP96">
        <v>703</v>
      </c>
      <c r="BQ96">
        <v>1</v>
      </c>
      <c r="BS96">
        <v>12.188911704312115</v>
      </c>
      <c r="BT96">
        <v>371</v>
      </c>
      <c r="BU96">
        <v>1</v>
      </c>
      <c r="BX96">
        <v>36860</v>
      </c>
      <c r="BY96">
        <v>12.188911704312115</v>
      </c>
      <c r="BZ96">
        <v>371</v>
      </c>
      <c r="CA96">
        <v>1</v>
      </c>
      <c r="CC96">
        <v>12.188911704312115</v>
      </c>
      <c r="CD96">
        <v>371</v>
      </c>
      <c r="CE96" t="s">
        <v>38</v>
      </c>
      <c r="CF96" t="s">
        <v>38</v>
      </c>
      <c r="CG96">
        <v>2</v>
      </c>
      <c r="CH96">
        <v>15.89</v>
      </c>
    </row>
    <row r="97" spans="3:86">
      <c r="C97">
        <v>69</v>
      </c>
      <c r="D97">
        <v>95</v>
      </c>
      <c r="E97">
        <v>9700</v>
      </c>
      <c r="H97" t="s">
        <v>121</v>
      </c>
      <c r="J97" s="202">
        <v>40.999315537303218</v>
      </c>
      <c r="K97">
        <v>0</v>
      </c>
      <c r="L97" t="s">
        <v>49</v>
      </c>
      <c r="M97" t="s">
        <v>32</v>
      </c>
      <c r="N97" t="s">
        <v>504</v>
      </c>
      <c r="O97">
        <v>0</v>
      </c>
      <c r="P97">
        <v>0</v>
      </c>
      <c r="Q97">
        <v>0</v>
      </c>
      <c r="R97">
        <v>1</v>
      </c>
      <c r="S97">
        <v>0</v>
      </c>
      <c r="T97" t="s">
        <v>495</v>
      </c>
      <c r="U97" t="s">
        <v>504</v>
      </c>
      <c r="V97">
        <v>0</v>
      </c>
      <c r="W97">
        <v>0</v>
      </c>
      <c r="X97">
        <v>0</v>
      </c>
      <c r="Y97">
        <v>0</v>
      </c>
      <c r="Z97">
        <v>1</v>
      </c>
      <c r="AA97">
        <v>0</v>
      </c>
      <c r="AD97">
        <v>13.470225872689939</v>
      </c>
      <c r="AE97">
        <v>0</v>
      </c>
      <c r="AF97">
        <v>0</v>
      </c>
      <c r="AG97" t="s">
        <v>387</v>
      </c>
      <c r="AH97">
        <v>1</v>
      </c>
      <c r="AI97" t="s">
        <v>327</v>
      </c>
      <c r="AK97">
        <v>5.5523613963039011</v>
      </c>
      <c r="AL97">
        <v>0</v>
      </c>
      <c r="AM97">
        <v>19.022587268993838</v>
      </c>
      <c r="AN97" s="202">
        <v>5</v>
      </c>
      <c r="AO97">
        <v>0</v>
      </c>
      <c r="AR97">
        <v>1.8571428571428572</v>
      </c>
      <c r="AS97">
        <v>10</v>
      </c>
      <c r="AT97">
        <v>5</v>
      </c>
      <c r="AU97">
        <v>50</v>
      </c>
      <c r="AV97">
        <v>1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1</v>
      </c>
      <c r="BD97" s="202">
        <v>1</v>
      </c>
      <c r="BI97" t="s">
        <v>82</v>
      </c>
      <c r="BJ97" s="202">
        <v>4.9609856262833674</v>
      </c>
      <c r="BK97" s="202">
        <v>151</v>
      </c>
      <c r="BL97">
        <v>0</v>
      </c>
      <c r="BO97">
        <v>4.9609856262833674</v>
      </c>
      <c r="BP97">
        <v>151</v>
      </c>
      <c r="BQ97">
        <v>1</v>
      </c>
      <c r="BS97">
        <v>3.2854209445585214</v>
      </c>
      <c r="BT97">
        <v>100</v>
      </c>
      <c r="BU97">
        <v>1</v>
      </c>
      <c r="BX97">
        <v>36594</v>
      </c>
      <c r="BY97">
        <v>3.2854209445585214</v>
      </c>
      <c r="BZ97">
        <v>100</v>
      </c>
      <c r="CA97">
        <v>1</v>
      </c>
      <c r="CC97">
        <v>3.2854209445585214</v>
      </c>
      <c r="CD97">
        <v>100</v>
      </c>
      <c r="CE97" t="s">
        <v>87</v>
      </c>
      <c r="CF97" t="s">
        <v>87</v>
      </c>
      <c r="CG97">
        <v>1</v>
      </c>
      <c r="CH97">
        <v>8.9599999999999991</v>
      </c>
    </row>
    <row r="98" spans="3:86">
      <c r="C98">
        <v>72</v>
      </c>
      <c r="D98">
        <v>96</v>
      </c>
      <c r="E98">
        <v>9700</v>
      </c>
      <c r="H98" t="s">
        <v>121</v>
      </c>
      <c r="J98" s="202">
        <v>55.871321013004788</v>
      </c>
      <c r="K98">
        <v>1</v>
      </c>
      <c r="L98" t="s">
        <v>49</v>
      </c>
      <c r="M98" t="s">
        <v>122</v>
      </c>
      <c r="N98" t="s">
        <v>403</v>
      </c>
      <c r="O98">
        <v>0</v>
      </c>
      <c r="P98">
        <v>0</v>
      </c>
      <c r="Q98">
        <v>1</v>
      </c>
      <c r="R98">
        <v>0</v>
      </c>
      <c r="S98">
        <v>0</v>
      </c>
      <c r="T98" t="s">
        <v>39</v>
      </c>
      <c r="U98" t="s">
        <v>402</v>
      </c>
      <c r="V98">
        <v>1</v>
      </c>
      <c r="W98">
        <v>0</v>
      </c>
      <c r="X98">
        <v>0</v>
      </c>
      <c r="Y98">
        <v>0</v>
      </c>
      <c r="Z98">
        <v>0</v>
      </c>
      <c r="AA98">
        <v>0</v>
      </c>
      <c r="AD98">
        <v>11.400410677618071</v>
      </c>
      <c r="AE98">
        <v>0</v>
      </c>
      <c r="AF98">
        <v>0</v>
      </c>
      <c r="AG98" t="s">
        <v>387</v>
      </c>
      <c r="AH98">
        <v>1</v>
      </c>
      <c r="AI98" t="s">
        <v>270</v>
      </c>
      <c r="AK98">
        <v>15.080082135523615</v>
      </c>
      <c r="AL98">
        <v>0</v>
      </c>
      <c r="AM98">
        <v>26.480492813141684</v>
      </c>
      <c r="AN98" s="202">
        <v>2</v>
      </c>
      <c r="AO98">
        <v>0</v>
      </c>
      <c r="AR98">
        <v>2</v>
      </c>
      <c r="AS98">
        <v>9</v>
      </c>
      <c r="AT98">
        <v>5.3333333329999997</v>
      </c>
      <c r="AU98">
        <v>47.999999996999996</v>
      </c>
      <c r="AV98">
        <v>0</v>
      </c>
      <c r="AW98">
        <v>0</v>
      </c>
      <c r="AX98">
        <v>1</v>
      </c>
      <c r="AY98">
        <v>0</v>
      </c>
      <c r="AZ98">
        <v>0</v>
      </c>
      <c r="BA98">
        <v>0</v>
      </c>
      <c r="BB98">
        <v>0</v>
      </c>
      <c r="BC98">
        <v>1</v>
      </c>
      <c r="BD98" s="202">
        <v>1</v>
      </c>
      <c r="BI98" t="s">
        <v>82</v>
      </c>
      <c r="BJ98" s="202">
        <v>23.917864476386036</v>
      </c>
      <c r="BK98" s="202">
        <v>728</v>
      </c>
      <c r="BL98">
        <v>0</v>
      </c>
      <c r="BO98">
        <v>23.917864476386036</v>
      </c>
      <c r="BP98">
        <v>728</v>
      </c>
      <c r="BQ98">
        <v>1</v>
      </c>
      <c r="BS98">
        <v>23.457905544147845</v>
      </c>
      <c r="BT98">
        <v>714</v>
      </c>
      <c r="BU98">
        <v>1</v>
      </c>
      <c r="BX98">
        <v>37225</v>
      </c>
      <c r="BY98">
        <v>23.457905544147845</v>
      </c>
      <c r="BZ98">
        <v>714</v>
      </c>
      <c r="CA98">
        <v>1</v>
      </c>
      <c r="CC98">
        <v>23.457905544147845</v>
      </c>
      <c r="CD98">
        <v>714</v>
      </c>
      <c r="CE98" t="s">
        <v>38</v>
      </c>
      <c r="CF98" t="s">
        <v>38</v>
      </c>
      <c r="CG98">
        <v>3</v>
      </c>
      <c r="CH98">
        <v>44.949999999999996</v>
      </c>
    </row>
    <row r="99" spans="3:86">
      <c r="C99">
        <v>75</v>
      </c>
      <c r="D99">
        <v>97</v>
      </c>
      <c r="E99">
        <v>9700</v>
      </c>
      <c r="H99" t="s">
        <v>121</v>
      </c>
      <c r="J99" s="202">
        <v>59.405886379192332</v>
      </c>
      <c r="K99">
        <v>0</v>
      </c>
      <c r="L99" t="s">
        <v>49</v>
      </c>
      <c r="M99" t="s">
        <v>327</v>
      </c>
      <c r="N99" t="s">
        <v>510</v>
      </c>
      <c r="O99">
        <v>0</v>
      </c>
      <c r="P99">
        <v>1</v>
      </c>
      <c r="Q99">
        <v>0</v>
      </c>
      <c r="R99">
        <v>0</v>
      </c>
      <c r="S99">
        <v>0</v>
      </c>
      <c r="T99" t="s">
        <v>155</v>
      </c>
      <c r="U99" t="s">
        <v>402</v>
      </c>
      <c r="V99">
        <v>1</v>
      </c>
      <c r="W99">
        <v>0</v>
      </c>
      <c r="X99">
        <v>0</v>
      </c>
      <c r="Y99">
        <v>0</v>
      </c>
      <c r="Z99">
        <v>0</v>
      </c>
      <c r="AA99">
        <v>0</v>
      </c>
      <c r="AD99">
        <v>0</v>
      </c>
      <c r="AE99">
        <v>0</v>
      </c>
      <c r="AF99">
        <v>1</v>
      </c>
      <c r="AG99" t="s">
        <v>389</v>
      </c>
      <c r="AH99">
        <v>1</v>
      </c>
      <c r="AI99" t="s">
        <v>271</v>
      </c>
      <c r="AK99">
        <v>6.4722792607802875</v>
      </c>
      <c r="AL99">
        <v>0</v>
      </c>
      <c r="AM99">
        <v>6.4722792607802875</v>
      </c>
      <c r="AN99" s="202">
        <v>3</v>
      </c>
      <c r="AO99">
        <v>0</v>
      </c>
      <c r="AR99">
        <v>3.1428571428571428</v>
      </c>
      <c r="AS99">
        <v>10</v>
      </c>
      <c r="AT99">
        <v>5</v>
      </c>
      <c r="AU99">
        <v>50</v>
      </c>
      <c r="AV99">
        <v>1</v>
      </c>
      <c r="AW99">
        <v>1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2</v>
      </c>
      <c r="BD99" s="202">
        <v>1</v>
      </c>
      <c r="BI99" t="s">
        <v>82</v>
      </c>
      <c r="BJ99" s="202">
        <v>7.655030800821355</v>
      </c>
      <c r="BK99" s="202">
        <v>233</v>
      </c>
      <c r="BL99">
        <v>0</v>
      </c>
      <c r="BO99">
        <v>7.655030800821355</v>
      </c>
      <c r="BP99">
        <v>233</v>
      </c>
      <c r="BQ99">
        <v>1</v>
      </c>
      <c r="BS99">
        <v>3.8767967145790556</v>
      </c>
      <c r="BT99">
        <v>118</v>
      </c>
      <c r="BU99">
        <v>1</v>
      </c>
      <c r="BX99">
        <v>36656</v>
      </c>
      <c r="BY99">
        <v>3.8767967145790556</v>
      </c>
      <c r="BZ99">
        <v>118</v>
      </c>
      <c r="CA99">
        <v>1</v>
      </c>
      <c r="CC99">
        <v>3.8767967145790556</v>
      </c>
      <c r="CD99">
        <v>118</v>
      </c>
      <c r="CE99" t="s">
        <v>38</v>
      </c>
      <c r="CF99" t="s">
        <v>38</v>
      </c>
      <c r="CG99">
        <v>2</v>
      </c>
      <c r="CH99">
        <v>13.530000000000001</v>
      </c>
    </row>
    <row r="100" spans="3:86">
      <c r="C100">
        <v>78</v>
      </c>
      <c r="D100">
        <v>98</v>
      </c>
      <c r="E100">
        <v>9700</v>
      </c>
      <c r="H100" t="s">
        <v>121</v>
      </c>
      <c r="J100" s="202">
        <v>59.857631759069129</v>
      </c>
      <c r="K100">
        <v>1</v>
      </c>
      <c r="L100" t="s">
        <v>49</v>
      </c>
      <c r="M100" t="s">
        <v>70</v>
      </c>
      <c r="N100" t="s">
        <v>504</v>
      </c>
      <c r="O100">
        <v>0</v>
      </c>
      <c r="P100">
        <v>0</v>
      </c>
      <c r="Q100">
        <v>0</v>
      </c>
      <c r="R100">
        <v>1</v>
      </c>
      <c r="S100">
        <v>0</v>
      </c>
      <c r="T100" t="s">
        <v>125</v>
      </c>
      <c r="U100" t="s">
        <v>504</v>
      </c>
      <c r="V100">
        <v>0</v>
      </c>
      <c r="W100">
        <v>0</v>
      </c>
      <c r="X100">
        <v>0</v>
      </c>
      <c r="Y100">
        <v>0</v>
      </c>
      <c r="Z100">
        <v>1</v>
      </c>
      <c r="AA100">
        <v>0</v>
      </c>
      <c r="AD100">
        <v>4.6981519507186853</v>
      </c>
      <c r="AE100">
        <v>1</v>
      </c>
      <c r="AF100">
        <v>0</v>
      </c>
      <c r="AG100" t="s">
        <v>390</v>
      </c>
      <c r="AH100">
        <v>1</v>
      </c>
      <c r="AI100" t="s">
        <v>327</v>
      </c>
      <c r="AK100">
        <v>6.1108829568788501</v>
      </c>
      <c r="AL100">
        <v>22.603696098562629</v>
      </c>
      <c r="AM100">
        <v>33.412731006160165</v>
      </c>
      <c r="AN100" s="202">
        <v>2</v>
      </c>
      <c r="AO100">
        <v>0</v>
      </c>
      <c r="AR100">
        <v>2.1428571428571428</v>
      </c>
      <c r="AS100">
        <v>10</v>
      </c>
      <c r="AT100">
        <v>4</v>
      </c>
      <c r="AU100">
        <v>40</v>
      </c>
      <c r="AV100">
        <v>1</v>
      </c>
      <c r="AW100">
        <v>1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2</v>
      </c>
      <c r="BD100" s="202">
        <v>1</v>
      </c>
      <c r="BJ100" s="202">
        <v>25.100616016427107</v>
      </c>
      <c r="BK100" s="202">
        <v>764.00000000000011</v>
      </c>
      <c r="BL100">
        <v>0</v>
      </c>
      <c r="BO100">
        <v>25.100616016427107</v>
      </c>
      <c r="BP100">
        <v>764.00000000000011</v>
      </c>
      <c r="BQ100">
        <v>1</v>
      </c>
      <c r="BS100">
        <v>8.9363449691991779</v>
      </c>
      <c r="BT100">
        <v>271.99999999999994</v>
      </c>
      <c r="BU100">
        <v>1</v>
      </c>
      <c r="BX100">
        <v>36830</v>
      </c>
      <c r="BY100">
        <v>8.9363449691991779</v>
      </c>
      <c r="BZ100">
        <v>271.99999999999994</v>
      </c>
      <c r="CA100">
        <v>1</v>
      </c>
      <c r="CC100">
        <v>8.9363449691991779</v>
      </c>
      <c r="CD100">
        <v>271.99999999999994</v>
      </c>
      <c r="CG100">
        <v>3</v>
      </c>
      <c r="CH100">
        <v>36.049999999999997</v>
      </c>
    </row>
    <row r="101" spans="3:86">
      <c r="C101">
        <v>80</v>
      </c>
      <c r="D101">
        <v>99</v>
      </c>
      <c r="E101">
        <v>9700</v>
      </c>
      <c r="H101" t="s">
        <v>121</v>
      </c>
      <c r="J101" s="202">
        <v>75.761806981519513</v>
      </c>
      <c r="K101">
        <v>1</v>
      </c>
      <c r="L101" t="s">
        <v>49</v>
      </c>
      <c r="M101" t="s">
        <v>126</v>
      </c>
      <c r="N101" t="s">
        <v>511</v>
      </c>
      <c r="O101">
        <v>0</v>
      </c>
      <c r="P101">
        <v>0</v>
      </c>
      <c r="Q101">
        <v>0</v>
      </c>
      <c r="R101">
        <v>0</v>
      </c>
      <c r="S101">
        <v>1</v>
      </c>
      <c r="T101" t="s">
        <v>304</v>
      </c>
      <c r="U101" t="s">
        <v>505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1</v>
      </c>
      <c r="AD101">
        <v>7.0636550308008221</v>
      </c>
      <c r="AE101">
        <v>0</v>
      </c>
      <c r="AF101">
        <v>0</v>
      </c>
      <c r="AG101" t="s">
        <v>391</v>
      </c>
      <c r="AH101">
        <v>0</v>
      </c>
      <c r="AI101" t="s">
        <v>270</v>
      </c>
      <c r="AK101">
        <v>0.68993839835728954</v>
      </c>
      <c r="AL101">
        <v>0</v>
      </c>
      <c r="AM101">
        <v>7.7535934291581112</v>
      </c>
      <c r="AN101" s="202">
        <v>3</v>
      </c>
      <c r="AO101">
        <v>0</v>
      </c>
      <c r="AR101">
        <v>1.8571428571428572</v>
      </c>
      <c r="AS101">
        <v>10</v>
      </c>
      <c r="AT101">
        <v>5</v>
      </c>
      <c r="AU101">
        <v>50</v>
      </c>
      <c r="AV101">
        <v>0</v>
      </c>
      <c r="AW101">
        <v>0</v>
      </c>
      <c r="AX101">
        <v>1</v>
      </c>
      <c r="AY101">
        <v>0</v>
      </c>
      <c r="AZ101">
        <v>0</v>
      </c>
      <c r="BA101">
        <v>0</v>
      </c>
      <c r="BB101">
        <v>0</v>
      </c>
      <c r="BC101">
        <v>1</v>
      </c>
      <c r="BD101" s="202">
        <v>1</v>
      </c>
      <c r="BI101" t="s">
        <v>82</v>
      </c>
      <c r="BJ101" s="202">
        <v>18.234086242299796</v>
      </c>
      <c r="BK101" s="202">
        <v>555</v>
      </c>
      <c r="BL101">
        <v>1</v>
      </c>
      <c r="BN101">
        <v>3.0882956878850103</v>
      </c>
      <c r="BO101">
        <v>3.8767967145790556</v>
      </c>
      <c r="BP101">
        <v>118</v>
      </c>
      <c r="BQ101">
        <v>1</v>
      </c>
      <c r="BS101">
        <v>3.8767967145790556</v>
      </c>
      <c r="BT101">
        <v>118</v>
      </c>
      <c r="BU101">
        <v>1</v>
      </c>
      <c r="BX101">
        <v>36679</v>
      </c>
      <c r="BY101">
        <v>3.8767967145790556</v>
      </c>
      <c r="BZ101">
        <v>118</v>
      </c>
      <c r="CA101">
        <v>1</v>
      </c>
      <c r="CC101">
        <v>3.8767967145790556</v>
      </c>
      <c r="CD101">
        <v>118</v>
      </c>
      <c r="CE101" t="s">
        <v>38</v>
      </c>
      <c r="CF101" t="s">
        <v>38</v>
      </c>
      <c r="CG101">
        <v>4</v>
      </c>
      <c r="CH101">
        <v>31.49</v>
      </c>
    </row>
    <row r="102" spans="3:86">
      <c r="C102">
        <v>81</v>
      </c>
      <c r="D102">
        <v>100</v>
      </c>
      <c r="E102">
        <v>9700</v>
      </c>
      <c r="H102" t="s">
        <v>121</v>
      </c>
      <c r="J102" s="202">
        <v>66.940451745379875</v>
      </c>
      <c r="K102">
        <v>0</v>
      </c>
      <c r="L102" t="s">
        <v>49</v>
      </c>
      <c r="M102" t="s">
        <v>64</v>
      </c>
      <c r="N102" t="s">
        <v>107</v>
      </c>
      <c r="O102">
        <v>1</v>
      </c>
      <c r="P102">
        <v>0</v>
      </c>
      <c r="Q102">
        <v>0</v>
      </c>
      <c r="R102">
        <v>0</v>
      </c>
      <c r="S102">
        <v>0</v>
      </c>
      <c r="T102" t="s">
        <v>155</v>
      </c>
      <c r="U102" t="s">
        <v>402</v>
      </c>
      <c r="V102">
        <v>1</v>
      </c>
      <c r="W102">
        <v>0</v>
      </c>
      <c r="X102">
        <v>0</v>
      </c>
      <c r="Y102">
        <v>0</v>
      </c>
      <c r="Z102">
        <v>0</v>
      </c>
      <c r="AA102">
        <v>0</v>
      </c>
      <c r="AD102">
        <v>0</v>
      </c>
      <c r="AE102">
        <v>0</v>
      </c>
      <c r="AF102">
        <v>0</v>
      </c>
      <c r="AG102" t="s">
        <v>389</v>
      </c>
      <c r="AH102">
        <v>1</v>
      </c>
      <c r="AI102" t="s">
        <v>270</v>
      </c>
      <c r="AK102">
        <v>6.5708418891170428</v>
      </c>
      <c r="AL102">
        <v>0</v>
      </c>
      <c r="AM102">
        <v>6.5708418891170428</v>
      </c>
      <c r="AN102" s="202">
        <v>3</v>
      </c>
      <c r="AO102">
        <v>0</v>
      </c>
      <c r="AR102">
        <v>2.4285714285714284</v>
      </c>
      <c r="AS102">
        <v>10</v>
      </c>
      <c r="AT102">
        <v>5</v>
      </c>
      <c r="AU102">
        <v>50</v>
      </c>
      <c r="AV102">
        <v>0</v>
      </c>
      <c r="AW102">
        <v>0</v>
      </c>
      <c r="AX102">
        <v>1</v>
      </c>
      <c r="AY102">
        <v>0</v>
      </c>
      <c r="AZ102">
        <v>0</v>
      </c>
      <c r="BA102">
        <v>0</v>
      </c>
      <c r="BB102">
        <v>0</v>
      </c>
      <c r="BC102">
        <v>1</v>
      </c>
      <c r="BD102" s="202">
        <v>1</v>
      </c>
      <c r="BI102" t="s">
        <v>82</v>
      </c>
      <c r="BJ102" s="202">
        <v>11.367556468172484</v>
      </c>
      <c r="BK102" s="202">
        <v>346</v>
      </c>
      <c r="BL102">
        <v>1</v>
      </c>
      <c r="BN102">
        <v>3.1540041067761808</v>
      </c>
      <c r="BO102">
        <v>3.8439425051334704</v>
      </c>
      <c r="BP102">
        <v>117</v>
      </c>
      <c r="BQ102">
        <v>1</v>
      </c>
      <c r="BS102">
        <v>3.8439425051334704</v>
      </c>
      <c r="BT102">
        <v>117</v>
      </c>
      <c r="BU102">
        <v>1</v>
      </c>
      <c r="BX102">
        <v>36628</v>
      </c>
      <c r="BY102">
        <v>3.8439425051334704</v>
      </c>
      <c r="BZ102">
        <v>117</v>
      </c>
      <c r="CA102">
        <v>1</v>
      </c>
      <c r="CC102">
        <v>3.8439425051334704</v>
      </c>
      <c r="CD102">
        <v>117</v>
      </c>
      <c r="CE102" t="s">
        <v>38</v>
      </c>
      <c r="CF102" t="s">
        <v>38</v>
      </c>
      <c r="CG102">
        <v>4</v>
      </c>
      <c r="CH102">
        <v>97.71</v>
      </c>
    </row>
    <row r="103" spans="3:86">
      <c r="C103">
        <v>82</v>
      </c>
      <c r="D103">
        <v>101</v>
      </c>
      <c r="E103">
        <v>9700</v>
      </c>
      <c r="H103" t="s">
        <v>121</v>
      </c>
      <c r="J103" s="202">
        <v>67.392197125256672</v>
      </c>
      <c r="K103">
        <v>0</v>
      </c>
      <c r="L103" t="s">
        <v>49</v>
      </c>
      <c r="M103" t="s">
        <v>327</v>
      </c>
      <c r="N103" t="s">
        <v>510</v>
      </c>
      <c r="O103">
        <v>0</v>
      </c>
      <c r="P103">
        <v>1</v>
      </c>
      <c r="Q103">
        <v>0</v>
      </c>
      <c r="R103">
        <v>0</v>
      </c>
      <c r="S103">
        <v>0</v>
      </c>
      <c r="T103" t="s">
        <v>404</v>
      </c>
      <c r="U103" t="s">
        <v>507</v>
      </c>
      <c r="V103">
        <v>0</v>
      </c>
      <c r="W103">
        <v>1</v>
      </c>
      <c r="X103">
        <v>0</v>
      </c>
      <c r="Y103">
        <v>0</v>
      </c>
      <c r="Z103">
        <v>0</v>
      </c>
      <c r="AA103">
        <v>0</v>
      </c>
      <c r="AD103">
        <v>35.449691991786445</v>
      </c>
      <c r="AE103">
        <v>0</v>
      </c>
      <c r="AF103">
        <v>1</v>
      </c>
      <c r="AG103" t="s">
        <v>390</v>
      </c>
      <c r="AH103">
        <v>1</v>
      </c>
      <c r="AI103" t="s">
        <v>270</v>
      </c>
      <c r="AK103">
        <v>9.8562628336755651</v>
      </c>
      <c r="AL103">
        <v>0</v>
      </c>
      <c r="AM103">
        <v>45.30595482546201</v>
      </c>
      <c r="AN103" s="202">
        <v>1</v>
      </c>
      <c r="AO103">
        <v>1</v>
      </c>
      <c r="AR103">
        <v>1.8571428571428572</v>
      </c>
      <c r="AS103">
        <v>10</v>
      </c>
      <c r="AT103">
        <v>5</v>
      </c>
      <c r="AU103">
        <v>50</v>
      </c>
      <c r="AV103">
        <v>0</v>
      </c>
      <c r="AW103">
        <v>0</v>
      </c>
      <c r="AX103">
        <v>1</v>
      </c>
      <c r="AY103">
        <v>0</v>
      </c>
      <c r="AZ103">
        <v>0</v>
      </c>
      <c r="BA103">
        <v>0</v>
      </c>
      <c r="BB103">
        <v>0</v>
      </c>
      <c r="BC103">
        <v>1</v>
      </c>
      <c r="BD103" s="202">
        <v>1</v>
      </c>
      <c r="BI103" t="s">
        <v>82</v>
      </c>
      <c r="BJ103" s="202">
        <v>13.601642710472278</v>
      </c>
      <c r="BK103" s="202">
        <v>414</v>
      </c>
      <c r="BL103">
        <v>1</v>
      </c>
      <c r="BN103">
        <v>9.1006160164271055</v>
      </c>
      <c r="BO103">
        <v>9.8234086242299803</v>
      </c>
      <c r="BP103">
        <v>299.00000000000006</v>
      </c>
      <c r="BQ103">
        <v>1</v>
      </c>
      <c r="BS103">
        <v>9.8234086242299803</v>
      </c>
      <c r="BT103">
        <v>299.00000000000006</v>
      </c>
      <c r="BU103">
        <v>1</v>
      </c>
      <c r="BX103">
        <v>36863</v>
      </c>
      <c r="BY103">
        <v>9.8234086242299803</v>
      </c>
      <c r="BZ103">
        <v>299.00000000000006</v>
      </c>
      <c r="CA103">
        <v>1</v>
      </c>
      <c r="CC103">
        <v>9.8234086242299803</v>
      </c>
      <c r="CD103">
        <v>299.00000000000006</v>
      </c>
      <c r="CE103" t="s">
        <v>22</v>
      </c>
      <c r="CF103" t="s">
        <v>223</v>
      </c>
      <c r="CG103">
        <v>4</v>
      </c>
      <c r="CH103">
        <v>66.819999999999993</v>
      </c>
    </row>
    <row r="104" spans="3:86">
      <c r="C104">
        <v>83</v>
      </c>
      <c r="D104">
        <v>102</v>
      </c>
      <c r="E104">
        <v>9700</v>
      </c>
      <c r="H104" t="s">
        <v>50</v>
      </c>
      <c r="J104" s="202">
        <v>65.360711841204647</v>
      </c>
      <c r="K104">
        <v>1</v>
      </c>
      <c r="L104" t="s">
        <v>335</v>
      </c>
      <c r="M104" t="s">
        <v>64</v>
      </c>
      <c r="N104" t="s">
        <v>107</v>
      </c>
      <c r="O104">
        <v>1</v>
      </c>
      <c r="P104">
        <v>0</v>
      </c>
      <c r="Q104">
        <v>0</v>
      </c>
      <c r="R104">
        <v>0</v>
      </c>
      <c r="S104">
        <v>0</v>
      </c>
      <c r="T104" t="s">
        <v>155</v>
      </c>
      <c r="U104" t="s">
        <v>402</v>
      </c>
      <c r="V104">
        <v>1</v>
      </c>
      <c r="W104">
        <v>0</v>
      </c>
      <c r="X104">
        <v>0</v>
      </c>
      <c r="Y104">
        <v>0</v>
      </c>
      <c r="Z104">
        <v>0</v>
      </c>
      <c r="AA104">
        <v>0</v>
      </c>
      <c r="AD104">
        <v>73.494866529774129</v>
      </c>
      <c r="AE104">
        <v>1</v>
      </c>
      <c r="AF104">
        <v>0</v>
      </c>
      <c r="AG104" t="s">
        <v>387</v>
      </c>
      <c r="AH104">
        <v>1</v>
      </c>
      <c r="AI104" t="s">
        <v>270</v>
      </c>
      <c r="AK104">
        <v>9.2977412731006162</v>
      </c>
      <c r="AL104">
        <v>13.66735112936345</v>
      </c>
      <c r="AM104">
        <v>96.459958932238195</v>
      </c>
      <c r="AN104" s="202">
        <v>1</v>
      </c>
      <c r="AO104">
        <v>1</v>
      </c>
      <c r="AR104">
        <v>1.8571428571428572</v>
      </c>
      <c r="AS104">
        <v>10</v>
      </c>
      <c r="AT104">
        <v>5</v>
      </c>
      <c r="AU104">
        <v>50</v>
      </c>
      <c r="AV104">
        <v>0</v>
      </c>
      <c r="AW104">
        <v>0</v>
      </c>
      <c r="AX104">
        <v>1</v>
      </c>
      <c r="AY104">
        <v>0</v>
      </c>
      <c r="AZ104">
        <v>0</v>
      </c>
      <c r="BA104">
        <v>0</v>
      </c>
      <c r="BB104">
        <v>0</v>
      </c>
      <c r="BC104">
        <v>1</v>
      </c>
      <c r="BD104" s="202">
        <v>1</v>
      </c>
      <c r="BI104" t="s">
        <v>132</v>
      </c>
      <c r="BJ104" s="202">
        <v>8.6735112936344976</v>
      </c>
      <c r="BK104" s="202">
        <v>264.00000000000006</v>
      </c>
      <c r="BL104">
        <v>0</v>
      </c>
      <c r="BO104">
        <v>8.6735112936344976</v>
      </c>
      <c r="BP104">
        <v>264.00000000000006</v>
      </c>
      <c r="BQ104">
        <v>0</v>
      </c>
      <c r="BS104">
        <v>8.6735112936344976</v>
      </c>
      <c r="BT104">
        <v>264.00000000000006</v>
      </c>
      <c r="BU104">
        <v>0</v>
      </c>
      <c r="BY104">
        <v>8.6735112936344976</v>
      </c>
      <c r="BZ104">
        <v>264.00000000000006</v>
      </c>
      <c r="CA104">
        <v>0</v>
      </c>
      <c r="CC104">
        <v>8.6735112936344976</v>
      </c>
      <c r="CD104">
        <v>264.00000000000006</v>
      </c>
      <c r="CE104" t="s">
        <v>22</v>
      </c>
      <c r="CF104" t="s">
        <v>133</v>
      </c>
      <c r="CG104">
        <v>5</v>
      </c>
      <c r="CH104">
        <v>118.6</v>
      </c>
    </row>
    <row r="105" spans="3:86">
      <c r="C105">
        <v>84</v>
      </c>
      <c r="D105">
        <v>103</v>
      </c>
      <c r="E105">
        <v>9700</v>
      </c>
      <c r="H105" t="s">
        <v>121</v>
      </c>
      <c r="J105" s="202">
        <v>58.439425051334702</v>
      </c>
      <c r="K105">
        <v>1</v>
      </c>
      <c r="L105" t="s">
        <v>49</v>
      </c>
      <c r="M105" t="s">
        <v>327</v>
      </c>
      <c r="N105" t="s">
        <v>510</v>
      </c>
      <c r="O105">
        <v>0</v>
      </c>
      <c r="P105">
        <v>1</v>
      </c>
      <c r="Q105">
        <v>0</v>
      </c>
      <c r="R105">
        <v>0</v>
      </c>
      <c r="S105">
        <v>0</v>
      </c>
      <c r="T105" t="s">
        <v>155</v>
      </c>
      <c r="U105" t="s">
        <v>402</v>
      </c>
      <c r="V105">
        <v>1</v>
      </c>
      <c r="W105">
        <v>0</v>
      </c>
      <c r="X105">
        <v>0</v>
      </c>
      <c r="Y105">
        <v>0</v>
      </c>
      <c r="Z105">
        <v>0</v>
      </c>
      <c r="AA105">
        <v>0</v>
      </c>
      <c r="AD105">
        <v>7.0308008213552355</v>
      </c>
      <c r="AE105">
        <v>0</v>
      </c>
      <c r="AF105">
        <v>0</v>
      </c>
      <c r="AG105" t="s">
        <v>387</v>
      </c>
      <c r="AH105">
        <v>1</v>
      </c>
      <c r="AI105" t="s">
        <v>1</v>
      </c>
      <c r="AK105">
        <v>14.127310061601642</v>
      </c>
      <c r="AL105">
        <v>0</v>
      </c>
      <c r="AM105">
        <v>21.15811088295688</v>
      </c>
      <c r="AN105" s="202">
        <v>1</v>
      </c>
      <c r="AO105">
        <v>1</v>
      </c>
      <c r="AR105">
        <v>2.1428571428571428</v>
      </c>
      <c r="AS105">
        <v>12</v>
      </c>
      <c r="AT105">
        <v>3</v>
      </c>
      <c r="AU105">
        <v>36</v>
      </c>
      <c r="AV105">
        <v>0</v>
      </c>
      <c r="AW105">
        <v>0</v>
      </c>
      <c r="AX105">
        <v>0</v>
      </c>
      <c r="AY105">
        <v>1</v>
      </c>
      <c r="AZ105">
        <v>0</v>
      </c>
      <c r="BA105">
        <v>0</v>
      </c>
      <c r="BB105">
        <v>0</v>
      </c>
      <c r="BC105">
        <v>1</v>
      </c>
      <c r="BD105" s="202">
        <v>1</v>
      </c>
      <c r="BI105" t="s">
        <v>82</v>
      </c>
      <c r="BJ105" s="202">
        <v>6.2422997946611911</v>
      </c>
      <c r="BK105" s="202">
        <v>190</v>
      </c>
      <c r="BL105">
        <v>0</v>
      </c>
      <c r="BO105">
        <v>6.2422997946611911</v>
      </c>
      <c r="BP105">
        <v>190</v>
      </c>
      <c r="BQ105">
        <v>1</v>
      </c>
      <c r="BS105">
        <v>5.8809034907597537</v>
      </c>
      <c r="BT105">
        <v>179</v>
      </c>
      <c r="BU105">
        <v>1</v>
      </c>
      <c r="BX105">
        <v>36738</v>
      </c>
      <c r="BY105">
        <v>5.8809034907597537</v>
      </c>
      <c r="BZ105">
        <v>179</v>
      </c>
      <c r="CA105">
        <v>1</v>
      </c>
      <c r="CC105">
        <v>5.8809034907597537</v>
      </c>
      <c r="CD105">
        <v>179</v>
      </c>
      <c r="CE105" t="s">
        <v>38</v>
      </c>
      <c r="CF105" t="s">
        <v>38</v>
      </c>
      <c r="CG105">
        <v>4</v>
      </c>
      <c r="CH105">
        <v>80</v>
      </c>
    </row>
    <row r="106" spans="3:86">
      <c r="C106">
        <v>89</v>
      </c>
      <c r="D106">
        <v>104</v>
      </c>
      <c r="E106">
        <v>9700</v>
      </c>
      <c r="H106" t="s">
        <v>121</v>
      </c>
      <c r="J106" s="202">
        <v>40.583162217659137</v>
      </c>
      <c r="K106">
        <v>1</v>
      </c>
      <c r="L106" t="s">
        <v>49</v>
      </c>
      <c r="M106" t="s">
        <v>148</v>
      </c>
      <c r="N106" t="s">
        <v>509</v>
      </c>
      <c r="O106">
        <v>0</v>
      </c>
      <c r="P106">
        <v>0</v>
      </c>
      <c r="Q106">
        <v>0</v>
      </c>
      <c r="R106">
        <v>0</v>
      </c>
      <c r="S106">
        <v>0</v>
      </c>
      <c r="T106" t="s">
        <v>24</v>
      </c>
      <c r="U106" t="s">
        <v>509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D106">
        <v>16.492813141683779</v>
      </c>
      <c r="AE106">
        <v>0</v>
      </c>
      <c r="AF106">
        <v>0</v>
      </c>
      <c r="AG106" t="s">
        <v>391</v>
      </c>
      <c r="AH106">
        <v>0</v>
      </c>
      <c r="AI106" t="s">
        <v>227</v>
      </c>
      <c r="AK106">
        <v>0.13141683778234087</v>
      </c>
      <c r="AL106">
        <v>0</v>
      </c>
      <c r="AM106">
        <v>16.624229979466119</v>
      </c>
      <c r="AN106" s="202">
        <v>1</v>
      </c>
      <c r="AO106">
        <v>1</v>
      </c>
      <c r="AR106">
        <v>2.7142857142857144</v>
      </c>
      <c r="AS106">
        <v>30</v>
      </c>
      <c r="AT106">
        <v>2</v>
      </c>
      <c r="AU106">
        <v>60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1</v>
      </c>
      <c r="BB106">
        <v>0</v>
      </c>
      <c r="BC106">
        <v>1</v>
      </c>
      <c r="BD106" s="202">
        <v>1</v>
      </c>
      <c r="BI106" t="s">
        <v>82</v>
      </c>
      <c r="BJ106" s="202">
        <v>23.589322381930184</v>
      </c>
      <c r="BK106" s="202">
        <v>718</v>
      </c>
      <c r="BL106">
        <v>1</v>
      </c>
      <c r="BN106">
        <v>12.386036960985626</v>
      </c>
      <c r="BO106">
        <v>12.353182751540041</v>
      </c>
      <c r="BP106">
        <v>376</v>
      </c>
      <c r="BQ106">
        <v>1</v>
      </c>
      <c r="BS106">
        <v>6.537987679671458</v>
      </c>
      <c r="BT106">
        <v>199</v>
      </c>
      <c r="BU106">
        <v>1</v>
      </c>
      <c r="BX106">
        <v>36834</v>
      </c>
      <c r="BY106">
        <v>6.537987679671458</v>
      </c>
      <c r="BZ106">
        <v>199</v>
      </c>
      <c r="CA106">
        <v>1</v>
      </c>
      <c r="CC106">
        <v>6.537987679671458</v>
      </c>
      <c r="CD106">
        <v>199</v>
      </c>
      <c r="CE106" t="s">
        <v>38</v>
      </c>
      <c r="CF106" t="s">
        <v>38</v>
      </c>
      <c r="CG106">
        <v>4</v>
      </c>
      <c r="CH106">
        <v>50</v>
      </c>
    </row>
    <row r="107" spans="3:86">
      <c r="C107">
        <v>92</v>
      </c>
      <c r="D107">
        <v>105</v>
      </c>
      <c r="E107">
        <v>9700</v>
      </c>
      <c r="H107" t="s">
        <v>121</v>
      </c>
      <c r="J107" s="202">
        <v>59.791923340177959</v>
      </c>
      <c r="K107">
        <v>1</v>
      </c>
      <c r="L107" t="s">
        <v>34</v>
      </c>
      <c r="M107" t="s">
        <v>309</v>
      </c>
      <c r="N107" t="s">
        <v>511</v>
      </c>
      <c r="O107">
        <v>0</v>
      </c>
      <c r="P107">
        <v>0</v>
      </c>
      <c r="Q107">
        <v>0</v>
      </c>
      <c r="R107">
        <v>0</v>
      </c>
      <c r="S107">
        <v>1</v>
      </c>
      <c r="T107" t="s">
        <v>198</v>
      </c>
      <c r="U107" t="s">
        <v>509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D107">
        <v>2.299794661190965</v>
      </c>
      <c r="AE107">
        <v>0</v>
      </c>
      <c r="AF107">
        <v>1</v>
      </c>
      <c r="AG107" t="s">
        <v>389</v>
      </c>
      <c r="AH107">
        <v>1</v>
      </c>
      <c r="AI107" t="s">
        <v>315</v>
      </c>
      <c r="AK107">
        <v>10.447638603696099</v>
      </c>
      <c r="AL107">
        <v>0</v>
      </c>
      <c r="AM107">
        <v>12.747433264887064</v>
      </c>
      <c r="AN107" s="202">
        <v>3</v>
      </c>
      <c r="AO107">
        <v>0</v>
      </c>
      <c r="AR107">
        <v>2.2857142857142856</v>
      </c>
      <c r="AS107">
        <v>12</v>
      </c>
      <c r="AT107">
        <v>3.5</v>
      </c>
      <c r="AU107">
        <v>42</v>
      </c>
      <c r="AV107">
        <v>0</v>
      </c>
      <c r="AW107">
        <v>0</v>
      </c>
      <c r="AX107">
        <v>1</v>
      </c>
      <c r="AY107">
        <v>0</v>
      </c>
      <c r="AZ107">
        <v>0</v>
      </c>
      <c r="BA107">
        <v>0</v>
      </c>
      <c r="BB107">
        <v>0</v>
      </c>
      <c r="BC107">
        <v>1</v>
      </c>
      <c r="BD107" s="202">
        <v>1</v>
      </c>
      <c r="BI107" t="s">
        <v>82</v>
      </c>
      <c r="BJ107" s="202">
        <v>8.5420944558521548</v>
      </c>
      <c r="BK107" s="202">
        <v>259.99999999999994</v>
      </c>
      <c r="BL107">
        <v>0</v>
      </c>
      <c r="BO107">
        <v>8.5420944558521548</v>
      </c>
      <c r="BP107">
        <v>259.99999999999994</v>
      </c>
      <c r="BQ107">
        <v>1</v>
      </c>
      <c r="BS107">
        <v>4.0739219712525667</v>
      </c>
      <c r="BT107">
        <v>124</v>
      </c>
      <c r="BU107">
        <v>1</v>
      </c>
      <c r="BX107">
        <v>36776</v>
      </c>
      <c r="BY107">
        <v>4.0739219712525667</v>
      </c>
      <c r="BZ107">
        <v>124</v>
      </c>
      <c r="CA107">
        <v>1</v>
      </c>
      <c r="CC107">
        <v>4.0739219712525667</v>
      </c>
      <c r="CD107">
        <v>124</v>
      </c>
      <c r="CE107" t="s">
        <v>38</v>
      </c>
      <c r="CG107">
        <v>4</v>
      </c>
      <c r="CH107">
        <v>75.58</v>
      </c>
    </row>
    <row r="108" spans="3:86">
      <c r="C108">
        <v>93</v>
      </c>
      <c r="D108">
        <v>106</v>
      </c>
      <c r="E108">
        <v>9700</v>
      </c>
      <c r="H108" t="s">
        <v>121</v>
      </c>
      <c r="J108" s="202">
        <v>83.575633127994521</v>
      </c>
      <c r="K108">
        <v>1</v>
      </c>
      <c r="L108" t="s">
        <v>49</v>
      </c>
      <c r="M108" t="s">
        <v>64</v>
      </c>
      <c r="N108" t="s">
        <v>107</v>
      </c>
      <c r="O108">
        <v>1</v>
      </c>
      <c r="P108">
        <v>0</v>
      </c>
      <c r="Q108">
        <v>0</v>
      </c>
      <c r="R108">
        <v>0</v>
      </c>
      <c r="S108">
        <v>0</v>
      </c>
      <c r="T108" t="s">
        <v>155</v>
      </c>
      <c r="U108" t="s">
        <v>402</v>
      </c>
      <c r="V108">
        <v>1</v>
      </c>
      <c r="W108">
        <v>0</v>
      </c>
      <c r="X108">
        <v>0</v>
      </c>
      <c r="Y108">
        <v>0</v>
      </c>
      <c r="Z108">
        <v>0</v>
      </c>
      <c r="AA108">
        <v>0</v>
      </c>
      <c r="AD108">
        <v>35.548254620123203</v>
      </c>
      <c r="AE108">
        <v>0</v>
      </c>
      <c r="AF108">
        <v>0</v>
      </c>
      <c r="AG108" t="s">
        <v>387</v>
      </c>
      <c r="AH108">
        <v>1</v>
      </c>
      <c r="AI108" t="s">
        <v>340</v>
      </c>
      <c r="AK108">
        <v>0.29568788501026694</v>
      </c>
      <c r="AL108">
        <v>0</v>
      </c>
      <c r="AM108">
        <v>35.843942505133469</v>
      </c>
      <c r="AN108" s="202">
        <v>3</v>
      </c>
      <c r="AO108">
        <v>0</v>
      </c>
      <c r="AR108">
        <v>2</v>
      </c>
      <c r="AS108">
        <v>10</v>
      </c>
      <c r="AT108">
        <v>5</v>
      </c>
      <c r="AU108">
        <v>50</v>
      </c>
      <c r="AV108">
        <v>1</v>
      </c>
      <c r="AW108">
        <v>0</v>
      </c>
      <c r="AX108">
        <v>1</v>
      </c>
      <c r="AY108">
        <v>0</v>
      </c>
      <c r="AZ108">
        <v>0</v>
      </c>
      <c r="BA108">
        <v>0</v>
      </c>
      <c r="BB108">
        <v>0</v>
      </c>
      <c r="BC108">
        <v>2</v>
      </c>
      <c r="BD108" s="202">
        <v>1</v>
      </c>
      <c r="BI108" t="s">
        <v>87</v>
      </c>
      <c r="BJ108" s="202">
        <v>13.108829568788501</v>
      </c>
      <c r="BK108" s="202">
        <v>399</v>
      </c>
      <c r="BL108">
        <v>0</v>
      </c>
      <c r="BO108">
        <v>13.108829568788501</v>
      </c>
      <c r="BP108">
        <v>399</v>
      </c>
      <c r="BQ108">
        <v>1</v>
      </c>
      <c r="BS108">
        <v>9.2320328542094447</v>
      </c>
      <c r="BT108">
        <v>280.99999999999994</v>
      </c>
      <c r="BU108">
        <v>1</v>
      </c>
      <c r="BX108">
        <v>36936</v>
      </c>
      <c r="BY108">
        <v>9.2320328542094447</v>
      </c>
      <c r="BZ108">
        <v>280.99999999999994</v>
      </c>
      <c r="CA108">
        <v>1</v>
      </c>
      <c r="CC108">
        <v>9.2320328542094447</v>
      </c>
      <c r="CD108">
        <v>280.99999999999994</v>
      </c>
      <c r="CE108" t="s">
        <v>22</v>
      </c>
      <c r="CF108" t="s">
        <v>104</v>
      </c>
      <c r="CG108">
        <v>2</v>
      </c>
      <c r="CH108">
        <v>10.469999999999999</v>
      </c>
    </row>
    <row r="109" spans="3:86">
      <c r="C109">
        <v>94</v>
      </c>
      <c r="D109">
        <v>107</v>
      </c>
      <c r="E109">
        <v>9700</v>
      </c>
      <c r="H109" t="s">
        <v>50</v>
      </c>
      <c r="J109" s="202">
        <v>77.730321697467488</v>
      </c>
      <c r="K109">
        <v>1</v>
      </c>
      <c r="L109" t="s">
        <v>274</v>
      </c>
      <c r="M109" t="s">
        <v>298</v>
      </c>
      <c r="N109" t="s">
        <v>403</v>
      </c>
      <c r="O109">
        <v>0</v>
      </c>
      <c r="P109">
        <v>0</v>
      </c>
      <c r="Q109">
        <v>1</v>
      </c>
      <c r="R109">
        <v>0</v>
      </c>
      <c r="S109">
        <v>0</v>
      </c>
      <c r="T109" t="s">
        <v>244</v>
      </c>
      <c r="U109" t="s">
        <v>402</v>
      </c>
      <c r="V109">
        <v>1</v>
      </c>
      <c r="W109">
        <v>0</v>
      </c>
      <c r="X109">
        <v>0</v>
      </c>
      <c r="Y109">
        <v>0</v>
      </c>
      <c r="Z109">
        <v>0</v>
      </c>
      <c r="AA109">
        <v>0</v>
      </c>
      <c r="AD109">
        <v>0.59137577002053388</v>
      </c>
      <c r="AE109">
        <v>0</v>
      </c>
      <c r="AF109">
        <v>0</v>
      </c>
      <c r="AG109" t="s">
        <v>408</v>
      </c>
      <c r="AH109">
        <v>0</v>
      </c>
      <c r="AI109" t="s">
        <v>271</v>
      </c>
      <c r="AK109">
        <v>1.8069815195071868</v>
      </c>
      <c r="AL109">
        <v>0</v>
      </c>
      <c r="AM109">
        <v>2.3983572895277208</v>
      </c>
      <c r="AN109" s="202">
        <v>5</v>
      </c>
      <c r="AO109">
        <v>0</v>
      </c>
      <c r="AR109">
        <v>2</v>
      </c>
      <c r="AS109">
        <v>10</v>
      </c>
      <c r="AT109">
        <v>5</v>
      </c>
      <c r="AU109">
        <v>50</v>
      </c>
      <c r="AV109">
        <v>1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1</v>
      </c>
      <c r="BD109" s="202">
        <v>1</v>
      </c>
      <c r="BI109" t="s">
        <v>87</v>
      </c>
      <c r="BJ109" s="202">
        <v>18.924024640657084</v>
      </c>
      <c r="BK109" s="202">
        <v>576</v>
      </c>
      <c r="BL109">
        <v>0</v>
      </c>
      <c r="BO109">
        <v>18.924024640657084</v>
      </c>
      <c r="BP109">
        <v>576</v>
      </c>
      <c r="BQ109">
        <v>1</v>
      </c>
      <c r="BS109">
        <v>18.628336755646817</v>
      </c>
      <c r="BT109">
        <v>567</v>
      </c>
      <c r="BU109">
        <v>1</v>
      </c>
      <c r="BX109">
        <v>37225</v>
      </c>
      <c r="BY109">
        <v>18.628336755646817</v>
      </c>
      <c r="BZ109">
        <v>567</v>
      </c>
      <c r="CA109">
        <v>1</v>
      </c>
      <c r="CC109">
        <v>18.628336755646817</v>
      </c>
      <c r="CD109">
        <v>567</v>
      </c>
      <c r="CE109" t="s">
        <v>38</v>
      </c>
      <c r="CF109" t="s">
        <v>38</v>
      </c>
      <c r="CG109">
        <v>1</v>
      </c>
      <c r="CH109">
        <v>6.12</v>
      </c>
    </row>
    <row r="110" spans="3:86">
      <c r="C110">
        <v>95</v>
      </c>
      <c r="D110">
        <v>108</v>
      </c>
      <c r="E110">
        <v>9700</v>
      </c>
      <c r="H110" t="s">
        <v>50</v>
      </c>
      <c r="J110" s="202">
        <v>53.908281998631075</v>
      </c>
      <c r="K110">
        <v>1</v>
      </c>
      <c r="L110" t="s">
        <v>274</v>
      </c>
      <c r="M110" t="s">
        <v>314</v>
      </c>
      <c r="N110" t="s">
        <v>107</v>
      </c>
      <c r="O110">
        <v>1</v>
      </c>
      <c r="P110">
        <v>0</v>
      </c>
      <c r="Q110">
        <v>0</v>
      </c>
      <c r="R110">
        <v>0</v>
      </c>
      <c r="S110">
        <v>0</v>
      </c>
      <c r="T110" t="s">
        <v>155</v>
      </c>
      <c r="U110" t="s">
        <v>402</v>
      </c>
      <c r="V110">
        <v>1</v>
      </c>
      <c r="W110">
        <v>0</v>
      </c>
      <c r="X110">
        <v>0</v>
      </c>
      <c r="Y110">
        <v>0</v>
      </c>
      <c r="Z110">
        <v>0</v>
      </c>
      <c r="AA110">
        <v>0</v>
      </c>
      <c r="AD110">
        <v>59.400410677618069</v>
      </c>
      <c r="AE110">
        <v>0</v>
      </c>
      <c r="AF110">
        <v>0</v>
      </c>
      <c r="AG110" t="s">
        <v>391</v>
      </c>
      <c r="AH110">
        <v>0</v>
      </c>
      <c r="AI110" t="s">
        <v>271</v>
      </c>
      <c r="AK110">
        <v>2.0369609856262834</v>
      </c>
      <c r="AL110">
        <v>0</v>
      </c>
      <c r="AM110">
        <v>61.437371663244356</v>
      </c>
      <c r="AN110" s="202">
        <v>2</v>
      </c>
      <c r="AO110">
        <v>0</v>
      </c>
      <c r="AR110">
        <v>2</v>
      </c>
      <c r="AS110">
        <v>10</v>
      </c>
      <c r="AT110">
        <v>5</v>
      </c>
      <c r="AU110">
        <v>50</v>
      </c>
      <c r="AV110">
        <v>1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1</v>
      </c>
      <c r="BD110" s="202">
        <v>1</v>
      </c>
      <c r="BI110" t="s">
        <v>82</v>
      </c>
      <c r="BJ110" s="202">
        <v>18.496919917864478</v>
      </c>
      <c r="BK110" s="202">
        <v>563.00000000000011</v>
      </c>
      <c r="BL110">
        <v>0</v>
      </c>
      <c r="BO110">
        <v>18.496919917864478</v>
      </c>
      <c r="BP110">
        <v>563.00000000000011</v>
      </c>
      <c r="BQ110">
        <v>1</v>
      </c>
      <c r="BS110">
        <v>13.043121149897331</v>
      </c>
      <c r="BT110">
        <v>397</v>
      </c>
      <c r="BU110">
        <v>1</v>
      </c>
      <c r="BX110">
        <v>37055</v>
      </c>
      <c r="BY110">
        <v>13.043121149897331</v>
      </c>
      <c r="BZ110">
        <v>397</v>
      </c>
      <c r="CA110">
        <v>1</v>
      </c>
      <c r="CC110">
        <v>13.043121149897331</v>
      </c>
      <c r="CD110">
        <v>397</v>
      </c>
      <c r="CE110" t="s">
        <v>38</v>
      </c>
      <c r="CF110" t="s">
        <v>38</v>
      </c>
      <c r="CG110">
        <v>2</v>
      </c>
      <c r="CH110">
        <v>12.01</v>
      </c>
    </row>
    <row r="111" spans="3:86">
      <c r="C111">
        <v>96</v>
      </c>
      <c r="D111">
        <v>109</v>
      </c>
      <c r="E111">
        <v>9700</v>
      </c>
      <c r="H111" t="s">
        <v>121</v>
      </c>
      <c r="J111" s="202">
        <v>69.552361396303908</v>
      </c>
      <c r="K111">
        <v>0</v>
      </c>
      <c r="L111" t="s">
        <v>34</v>
      </c>
      <c r="M111" t="s">
        <v>317</v>
      </c>
      <c r="N111" t="s">
        <v>511</v>
      </c>
      <c r="O111">
        <v>0</v>
      </c>
      <c r="P111">
        <v>0</v>
      </c>
      <c r="Q111">
        <v>0</v>
      </c>
      <c r="R111">
        <v>0</v>
      </c>
      <c r="S111">
        <v>1</v>
      </c>
      <c r="T111" t="s">
        <v>155</v>
      </c>
      <c r="U111" t="s">
        <v>402</v>
      </c>
      <c r="V111">
        <v>1</v>
      </c>
      <c r="W111">
        <v>0</v>
      </c>
      <c r="X111">
        <v>0</v>
      </c>
      <c r="Y111">
        <v>0</v>
      </c>
      <c r="Z111">
        <v>0</v>
      </c>
      <c r="AA111">
        <v>0</v>
      </c>
      <c r="AD111">
        <v>1.3798767967145791</v>
      </c>
      <c r="AE111">
        <v>0</v>
      </c>
      <c r="AF111">
        <v>0</v>
      </c>
      <c r="AG111" t="s">
        <v>389</v>
      </c>
      <c r="AH111">
        <v>1</v>
      </c>
      <c r="AI111" t="s">
        <v>270</v>
      </c>
      <c r="AK111">
        <v>8.3449691991786441</v>
      </c>
      <c r="AL111">
        <v>0</v>
      </c>
      <c r="AM111">
        <v>9.7248459958932241</v>
      </c>
      <c r="AN111" s="202">
        <v>2</v>
      </c>
      <c r="AO111">
        <v>0</v>
      </c>
      <c r="AR111">
        <v>1.8571428571428572</v>
      </c>
      <c r="AS111">
        <v>10</v>
      </c>
      <c r="AT111">
        <v>5</v>
      </c>
      <c r="AU111">
        <v>50</v>
      </c>
      <c r="AV111">
        <v>0</v>
      </c>
      <c r="AW111">
        <v>0</v>
      </c>
      <c r="AX111">
        <v>1</v>
      </c>
      <c r="AY111">
        <v>0</v>
      </c>
      <c r="AZ111">
        <v>0</v>
      </c>
      <c r="BA111">
        <v>0</v>
      </c>
      <c r="BB111">
        <v>0</v>
      </c>
      <c r="BC111">
        <v>1</v>
      </c>
      <c r="BD111" s="202">
        <v>1</v>
      </c>
      <c r="BI111" t="s">
        <v>82</v>
      </c>
      <c r="BJ111" s="202">
        <v>6.2094455852156063</v>
      </c>
      <c r="BK111" s="202">
        <v>189</v>
      </c>
      <c r="BL111">
        <v>0</v>
      </c>
      <c r="BO111">
        <v>6.2094455852156063</v>
      </c>
      <c r="BP111">
        <v>189</v>
      </c>
      <c r="BQ111">
        <v>1</v>
      </c>
      <c r="BS111">
        <v>4.1396303901437372</v>
      </c>
      <c r="BT111">
        <v>126</v>
      </c>
      <c r="BU111">
        <v>1</v>
      </c>
      <c r="BX111">
        <v>36785</v>
      </c>
      <c r="BY111">
        <v>4.1396303901437372</v>
      </c>
      <c r="BZ111">
        <v>126</v>
      </c>
      <c r="CA111">
        <v>1</v>
      </c>
      <c r="CC111">
        <v>4.1396303901437372</v>
      </c>
      <c r="CD111">
        <v>126</v>
      </c>
      <c r="CE111" t="s">
        <v>22</v>
      </c>
      <c r="CF111" t="s">
        <v>234</v>
      </c>
      <c r="CG111">
        <v>1</v>
      </c>
      <c r="CH111">
        <v>4.75</v>
      </c>
    </row>
    <row r="112" spans="3:86">
      <c r="C112">
        <v>99</v>
      </c>
      <c r="D112">
        <v>110</v>
      </c>
      <c r="E112">
        <v>9700</v>
      </c>
      <c r="H112" t="s">
        <v>121</v>
      </c>
      <c r="J112" s="202">
        <v>66.880219028062967</v>
      </c>
      <c r="K112">
        <v>0</v>
      </c>
      <c r="L112" t="s">
        <v>49</v>
      </c>
      <c r="M112" t="s">
        <v>271</v>
      </c>
      <c r="N112" t="s">
        <v>510</v>
      </c>
      <c r="O112">
        <v>0</v>
      </c>
      <c r="P112">
        <v>1</v>
      </c>
      <c r="Q112">
        <v>0</v>
      </c>
      <c r="R112">
        <v>0</v>
      </c>
      <c r="S112">
        <v>0</v>
      </c>
      <c r="T112" t="s">
        <v>72</v>
      </c>
      <c r="U112" t="s">
        <v>509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D112">
        <v>3.482546201232033</v>
      </c>
      <c r="AE112">
        <v>1</v>
      </c>
      <c r="AF112">
        <v>0</v>
      </c>
      <c r="AG112" t="s">
        <v>387</v>
      </c>
      <c r="AH112">
        <v>1</v>
      </c>
      <c r="AI112" t="s">
        <v>327</v>
      </c>
      <c r="AK112">
        <v>1.3141683778234086</v>
      </c>
      <c r="AL112">
        <v>13.141683778234086</v>
      </c>
      <c r="AM112">
        <v>17.938398357289529</v>
      </c>
      <c r="AN112" s="202">
        <v>2</v>
      </c>
      <c r="AO112">
        <v>0</v>
      </c>
      <c r="AR112">
        <v>1.8571428571428572</v>
      </c>
      <c r="AS112">
        <v>10</v>
      </c>
      <c r="AT112">
        <v>4</v>
      </c>
      <c r="AU112">
        <v>40</v>
      </c>
      <c r="AV112">
        <v>1</v>
      </c>
      <c r="AW112">
        <v>1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2</v>
      </c>
      <c r="BD112" s="202">
        <v>1</v>
      </c>
      <c r="BI112" t="s">
        <v>405</v>
      </c>
      <c r="BJ112" s="202">
        <v>15.93429158110883</v>
      </c>
      <c r="BK112" s="202">
        <v>485</v>
      </c>
      <c r="BL112">
        <v>1</v>
      </c>
      <c r="BN112">
        <v>5.28952772073922</v>
      </c>
      <c r="BO112">
        <v>6.669404517453799</v>
      </c>
      <c r="BP112">
        <v>203</v>
      </c>
      <c r="BQ112">
        <v>1</v>
      </c>
      <c r="BS112">
        <v>6.669404517453799</v>
      </c>
      <c r="BT112">
        <v>203</v>
      </c>
      <c r="BU112">
        <v>1</v>
      </c>
      <c r="BX112">
        <v>36923</v>
      </c>
      <c r="BY112">
        <v>6.669404517453799</v>
      </c>
      <c r="BZ112">
        <v>203</v>
      </c>
      <c r="CA112">
        <v>1</v>
      </c>
      <c r="CC112">
        <v>6.669404517453799</v>
      </c>
      <c r="CD112">
        <v>203</v>
      </c>
      <c r="CE112" t="s">
        <v>38</v>
      </c>
      <c r="CF112" t="s">
        <v>38</v>
      </c>
      <c r="CG112">
        <v>5</v>
      </c>
      <c r="CH112">
        <v>105.02</v>
      </c>
    </row>
    <row r="113" spans="3:86">
      <c r="C113">
        <v>102</v>
      </c>
      <c r="D113">
        <v>111</v>
      </c>
      <c r="E113">
        <v>9700</v>
      </c>
      <c r="H113" t="s">
        <v>121</v>
      </c>
      <c r="J113" s="202">
        <v>47.696098562628336</v>
      </c>
      <c r="K113">
        <v>0</v>
      </c>
      <c r="L113" t="s">
        <v>170</v>
      </c>
      <c r="M113" t="s">
        <v>220</v>
      </c>
      <c r="N113" t="s">
        <v>510</v>
      </c>
      <c r="O113">
        <v>0</v>
      </c>
      <c r="P113">
        <v>1</v>
      </c>
      <c r="Q113">
        <v>0</v>
      </c>
      <c r="R113">
        <v>0</v>
      </c>
      <c r="S113">
        <v>0</v>
      </c>
      <c r="T113" t="s">
        <v>35</v>
      </c>
      <c r="U113" t="s">
        <v>507</v>
      </c>
      <c r="V113">
        <v>0</v>
      </c>
      <c r="W113">
        <v>1</v>
      </c>
      <c r="X113">
        <v>0</v>
      </c>
      <c r="Y113">
        <v>0</v>
      </c>
      <c r="Z113">
        <v>0</v>
      </c>
      <c r="AA113">
        <v>0</v>
      </c>
      <c r="AD113">
        <v>12.681724845995893</v>
      </c>
      <c r="AE113">
        <v>0</v>
      </c>
      <c r="AF113">
        <v>0</v>
      </c>
      <c r="AG113" t="s">
        <v>388</v>
      </c>
      <c r="AH113">
        <v>0</v>
      </c>
      <c r="AI113" t="s">
        <v>227</v>
      </c>
      <c r="AK113">
        <v>2.2669404517453797</v>
      </c>
      <c r="AL113">
        <v>0</v>
      </c>
      <c r="AM113">
        <v>14.948665297741274</v>
      </c>
      <c r="AN113" s="202">
        <v>1</v>
      </c>
      <c r="AO113">
        <v>1</v>
      </c>
      <c r="AR113">
        <v>4.1428571428571432</v>
      </c>
      <c r="AS113">
        <v>15</v>
      </c>
      <c r="AT113">
        <v>3</v>
      </c>
      <c r="AU113">
        <v>45</v>
      </c>
      <c r="AV113">
        <v>1</v>
      </c>
      <c r="AW113">
        <v>0</v>
      </c>
      <c r="AX113">
        <v>0</v>
      </c>
      <c r="AY113">
        <v>0</v>
      </c>
      <c r="AZ113">
        <v>0</v>
      </c>
      <c r="BA113">
        <v>1</v>
      </c>
      <c r="BB113">
        <v>0</v>
      </c>
      <c r="BC113">
        <v>2</v>
      </c>
      <c r="BD113" s="202">
        <v>1</v>
      </c>
      <c r="BI113" t="s">
        <v>82</v>
      </c>
      <c r="BJ113" s="202">
        <v>9.6919917864476393</v>
      </c>
      <c r="BK113" s="202">
        <v>295.00000000000006</v>
      </c>
      <c r="BL113">
        <v>0</v>
      </c>
      <c r="BO113">
        <v>9.6919917864476393</v>
      </c>
      <c r="BP113">
        <v>295.00000000000006</v>
      </c>
      <c r="BQ113">
        <v>1</v>
      </c>
      <c r="BS113">
        <v>6.8008213552361401</v>
      </c>
      <c r="BT113">
        <v>207</v>
      </c>
      <c r="BU113">
        <v>1</v>
      </c>
      <c r="BX113">
        <v>36942</v>
      </c>
      <c r="BY113">
        <v>6.8008213552361401</v>
      </c>
      <c r="BZ113">
        <v>207</v>
      </c>
      <c r="CA113">
        <v>1</v>
      </c>
      <c r="CC113">
        <v>6.8008213552361401</v>
      </c>
      <c r="CD113">
        <v>207</v>
      </c>
      <c r="CE113" t="s">
        <v>58</v>
      </c>
      <c r="CF113" t="s">
        <v>0</v>
      </c>
      <c r="CG113">
        <v>3</v>
      </c>
      <c r="CH113">
        <v>42.06</v>
      </c>
    </row>
    <row r="114" spans="3:86">
      <c r="C114">
        <v>105</v>
      </c>
      <c r="D114">
        <v>112</v>
      </c>
      <c r="E114">
        <v>9700</v>
      </c>
      <c r="H114" t="s">
        <v>121</v>
      </c>
      <c r="J114" s="202">
        <v>70.726899383983579</v>
      </c>
      <c r="K114">
        <v>0</v>
      </c>
      <c r="L114" t="s">
        <v>49</v>
      </c>
      <c r="M114" t="s">
        <v>64</v>
      </c>
      <c r="N114" t="s">
        <v>107</v>
      </c>
      <c r="O114">
        <v>1</v>
      </c>
      <c r="P114">
        <v>0</v>
      </c>
      <c r="Q114">
        <v>0</v>
      </c>
      <c r="R114">
        <v>0</v>
      </c>
      <c r="S114">
        <v>0</v>
      </c>
      <c r="T114" t="s">
        <v>155</v>
      </c>
      <c r="U114" t="s">
        <v>402</v>
      </c>
      <c r="V114">
        <v>1</v>
      </c>
      <c r="W114">
        <v>0</v>
      </c>
      <c r="X114">
        <v>0</v>
      </c>
      <c r="Y114">
        <v>0</v>
      </c>
      <c r="Z114">
        <v>0</v>
      </c>
      <c r="AA114">
        <v>0</v>
      </c>
      <c r="AD114">
        <v>10.513347022587268</v>
      </c>
      <c r="AE114">
        <v>1</v>
      </c>
      <c r="AF114">
        <v>0</v>
      </c>
      <c r="AG114" t="s">
        <v>387</v>
      </c>
      <c r="AH114">
        <v>1</v>
      </c>
      <c r="AI114" t="s">
        <v>327</v>
      </c>
      <c r="AK114">
        <v>1.6098562628336757</v>
      </c>
      <c r="AL114">
        <v>10.776180698151951</v>
      </c>
      <c r="AM114">
        <v>22.899383983572896</v>
      </c>
      <c r="AN114" s="202">
        <v>4</v>
      </c>
      <c r="AO114">
        <v>0</v>
      </c>
      <c r="AR114">
        <v>5.1428571428571432</v>
      </c>
      <c r="AS114">
        <v>25</v>
      </c>
      <c r="AT114">
        <v>2.4</v>
      </c>
      <c r="AU114">
        <v>60</v>
      </c>
      <c r="AV114">
        <v>1</v>
      </c>
      <c r="AW114">
        <v>1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2</v>
      </c>
      <c r="BD114" s="202">
        <v>1</v>
      </c>
      <c r="BI114" t="s">
        <v>87</v>
      </c>
      <c r="BJ114" s="202">
        <v>15.080082135523615</v>
      </c>
      <c r="BK114" s="202">
        <v>459</v>
      </c>
      <c r="BL114">
        <v>1</v>
      </c>
      <c r="BN114">
        <v>6.0451745379876796</v>
      </c>
      <c r="BO114">
        <v>15.080082135523615</v>
      </c>
      <c r="BP114">
        <v>459</v>
      </c>
      <c r="BQ114">
        <v>1</v>
      </c>
      <c r="BS114">
        <v>11.498973305954825</v>
      </c>
      <c r="BT114">
        <v>350</v>
      </c>
      <c r="BU114">
        <v>1</v>
      </c>
      <c r="BX114">
        <v>37008</v>
      </c>
      <c r="BY114">
        <v>8.5092402464065717</v>
      </c>
      <c r="BZ114">
        <v>259.00000000000006</v>
      </c>
      <c r="CA114">
        <v>1</v>
      </c>
      <c r="CC114">
        <v>8.5092402464065717</v>
      </c>
      <c r="CD114">
        <v>259.00000000000006</v>
      </c>
      <c r="CE114" t="s">
        <v>38</v>
      </c>
      <c r="CF114" t="s">
        <v>38</v>
      </c>
      <c r="CG114">
        <v>3</v>
      </c>
      <c r="CH114">
        <v>24.9</v>
      </c>
    </row>
    <row r="115" spans="3:86">
      <c r="C115">
        <v>108</v>
      </c>
      <c r="D115">
        <v>113</v>
      </c>
      <c r="E115">
        <v>9700</v>
      </c>
      <c r="H115" t="s">
        <v>121</v>
      </c>
      <c r="J115" s="202">
        <v>60.640657084188909</v>
      </c>
      <c r="K115">
        <v>0</v>
      </c>
      <c r="L115" t="s">
        <v>49</v>
      </c>
      <c r="M115" t="s">
        <v>327</v>
      </c>
      <c r="N115" t="s">
        <v>510</v>
      </c>
      <c r="O115">
        <v>0</v>
      </c>
      <c r="P115">
        <v>1</v>
      </c>
      <c r="Q115">
        <v>0</v>
      </c>
      <c r="R115">
        <v>0</v>
      </c>
      <c r="S115">
        <v>0</v>
      </c>
      <c r="T115" t="s">
        <v>155</v>
      </c>
      <c r="U115" t="s">
        <v>402</v>
      </c>
      <c r="V115">
        <v>1</v>
      </c>
      <c r="W115">
        <v>0</v>
      </c>
      <c r="X115">
        <v>0</v>
      </c>
      <c r="Y115">
        <v>0</v>
      </c>
      <c r="Z115">
        <v>0</v>
      </c>
      <c r="AA115">
        <v>0</v>
      </c>
      <c r="AD115">
        <v>0</v>
      </c>
      <c r="AE115">
        <v>0</v>
      </c>
      <c r="AF115">
        <v>0</v>
      </c>
      <c r="AG115" t="s">
        <v>408</v>
      </c>
      <c r="AH115">
        <v>0</v>
      </c>
      <c r="AI115" t="s">
        <v>184</v>
      </c>
      <c r="AK115">
        <v>2.5626283367556466</v>
      </c>
      <c r="AL115">
        <v>0</v>
      </c>
      <c r="AM115">
        <v>2.5626283367556466</v>
      </c>
      <c r="AN115" s="202">
        <v>4</v>
      </c>
      <c r="AO115">
        <v>0</v>
      </c>
      <c r="AR115">
        <v>2.8571428571428572</v>
      </c>
      <c r="AS115">
        <v>10</v>
      </c>
      <c r="AT115">
        <v>5</v>
      </c>
      <c r="AU115">
        <v>50</v>
      </c>
      <c r="AV115">
        <v>1</v>
      </c>
      <c r="AW115">
        <v>1</v>
      </c>
      <c r="AX115">
        <v>0</v>
      </c>
      <c r="AY115">
        <v>0</v>
      </c>
      <c r="AZ115">
        <v>0</v>
      </c>
      <c r="BA115">
        <v>1</v>
      </c>
      <c r="BB115">
        <v>0</v>
      </c>
      <c r="BC115">
        <v>3</v>
      </c>
      <c r="BD115" s="202">
        <v>1</v>
      </c>
      <c r="BI115" t="s">
        <v>82</v>
      </c>
      <c r="BJ115" s="202">
        <v>7.2279260780287471</v>
      </c>
      <c r="BK115" s="202">
        <v>220</v>
      </c>
      <c r="BL115">
        <v>0</v>
      </c>
      <c r="BO115">
        <v>7.2279260780287471</v>
      </c>
      <c r="BP115">
        <v>220</v>
      </c>
      <c r="BQ115">
        <v>1</v>
      </c>
      <c r="BS115">
        <v>5.0595482546201236</v>
      </c>
      <c r="BT115">
        <v>154.00000000000003</v>
      </c>
      <c r="BU115">
        <v>1</v>
      </c>
      <c r="BX115">
        <v>36909</v>
      </c>
      <c r="BY115">
        <v>5.0595482546201236</v>
      </c>
      <c r="BZ115">
        <v>154.00000000000003</v>
      </c>
      <c r="CA115">
        <v>1</v>
      </c>
      <c r="CC115">
        <v>5.0595482546201236</v>
      </c>
      <c r="CD115">
        <v>154.00000000000003</v>
      </c>
      <c r="CE115" t="s">
        <v>38</v>
      </c>
      <c r="CF115" t="s">
        <v>38</v>
      </c>
      <c r="CG115">
        <v>5</v>
      </c>
      <c r="CH115">
        <v>195.44</v>
      </c>
    </row>
    <row r="116" spans="3:86">
      <c r="C116">
        <v>111</v>
      </c>
      <c r="D116">
        <v>114</v>
      </c>
      <c r="E116">
        <v>9700</v>
      </c>
      <c r="H116" t="s">
        <v>50</v>
      </c>
      <c r="J116" s="202">
        <v>47.16495550992471</v>
      </c>
      <c r="K116">
        <v>1</v>
      </c>
      <c r="L116" t="s">
        <v>190</v>
      </c>
      <c r="M116" t="s">
        <v>327</v>
      </c>
      <c r="N116" t="s">
        <v>510</v>
      </c>
      <c r="O116">
        <v>0</v>
      </c>
      <c r="P116">
        <v>1</v>
      </c>
      <c r="Q116">
        <v>0</v>
      </c>
      <c r="R116">
        <v>0</v>
      </c>
      <c r="S116">
        <v>0</v>
      </c>
      <c r="T116" t="s">
        <v>134</v>
      </c>
      <c r="U116" t="s">
        <v>509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D116">
        <v>0</v>
      </c>
      <c r="AE116">
        <v>1</v>
      </c>
      <c r="AF116">
        <v>1</v>
      </c>
      <c r="AG116" t="s">
        <v>389</v>
      </c>
      <c r="AH116">
        <v>1</v>
      </c>
      <c r="AI116" t="s">
        <v>327</v>
      </c>
      <c r="AK116">
        <v>8.9034907597535931</v>
      </c>
      <c r="AL116">
        <v>0</v>
      </c>
      <c r="AM116">
        <v>8.9034907597535931</v>
      </c>
      <c r="AN116" s="202">
        <v>2</v>
      </c>
      <c r="AO116">
        <v>0</v>
      </c>
      <c r="AR116">
        <v>1.8571428571428572</v>
      </c>
      <c r="AS116">
        <v>10</v>
      </c>
      <c r="AT116">
        <v>5</v>
      </c>
      <c r="AU116">
        <v>50</v>
      </c>
      <c r="AV116">
        <v>1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1</v>
      </c>
      <c r="BD116" s="202">
        <v>1</v>
      </c>
      <c r="BJ116" s="202">
        <v>20.993839835728952</v>
      </c>
      <c r="BK116" s="202">
        <v>639</v>
      </c>
      <c r="BL116">
        <v>0</v>
      </c>
      <c r="BO116">
        <v>20.993839835728952</v>
      </c>
      <c r="BP116">
        <v>639</v>
      </c>
      <c r="BQ116">
        <v>1</v>
      </c>
      <c r="BS116">
        <v>11.203285420944558</v>
      </c>
      <c r="BT116">
        <v>341</v>
      </c>
      <c r="BU116">
        <v>1</v>
      </c>
      <c r="BX116">
        <v>37110</v>
      </c>
      <c r="BY116">
        <v>11.203285420944558</v>
      </c>
      <c r="BZ116">
        <v>341</v>
      </c>
      <c r="CA116">
        <v>1</v>
      </c>
      <c r="CC116">
        <v>11.203285420944558</v>
      </c>
      <c r="CD116">
        <v>341</v>
      </c>
      <c r="CG116">
        <v>3</v>
      </c>
      <c r="CH116">
        <v>37.75</v>
      </c>
    </row>
    <row r="117" spans="3:86">
      <c r="C117">
        <v>114</v>
      </c>
      <c r="D117">
        <v>115</v>
      </c>
      <c r="E117">
        <v>9700</v>
      </c>
      <c r="H117" t="s">
        <v>121</v>
      </c>
      <c r="J117" s="202">
        <v>62.362765229295</v>
      </c>
      <c r="K117">
        <v>0</v>
      </c>
      <c r="L117" t="s">
        <v>49</v>
      </c>
      <c r="M117" t="s">
        <v>220</v>
      </c>
      <c r="N117" t="s">
        <v>510</v>
      </c>
      <c r="O117">
        <v>0</v>
      </c>
      <c r="P117">
        <v>1</v>
      </c>
      <c r="Q117">
        <v>0</v>
      </c>
      <c r="R117">
        <v>0</v>
      </c>
      <c r="S117">
        <v>0</v>
      </c>
      <c r="T117" t="s">
        <v>155</v>
      </c>
      <c r="U117" t="s">
        <v>402</v>
      </c>
      <c r="V117">
        <v>1</v>
      </c>
      <c r="W117">
        <v>0</v>
      </c>
      <c r="X117">
        <v>0</v>
      </c>
      <c r="Y117">
        <v>0</v>
      </c>
      <c r="Z117">
        <v>0</v>
      </c>
      <c r="AA117">
        <v>0</v>
      </c>
      <c r="AD117">
        <v>14.390143737166325</v>
      </c>
      <c r="AE117">
        <v>0</v>
      </c>
      <c r="AF117">
        <v>0</v>
      </c>
      <c r="AG117" t="s">
        <v>388</v>
      </c>
      <c r="AH117">
        <v>0</v>
      </c>
      <c r="AI117" t="s">
        <v>315</v>
      </c>
      <c r="AK117">
        <v>1.1827515400410678</v>
      </c>
      <c r="AL117">
        <v>0</v>
      </c>
      <c r="AM117">
        <v>15.572895277207392</v>
      </c>
      <c r="AN117" s="202">
        <v>1</v>
      </c>
      <c r="AO117">
        <v>1</v>
      </c>
      <c r="AR117">
        <v>1.5714285714285714</v>
      </c>
      <c r="AS117">
        <v>10</v>
      </c>
      <c r="AT117">
        <v>5</v>
      </c>
      <c r="AU117">
        <v>50</v>
      </c>
      <c r="AV117">
        <v>0</v>
      </c>
      <c r="AW117">
        <v>0</v>
      </c>
      <c r="AX117">
        <v>1</v>
      </c>
      <c r="AY117">
        <v>0</v>
      </c>
      <c r="AZ117">
        <v>0</v>
      </c>
      <c r="BA117">
        <v>0</v>
      </c>
      <c r="BB117">
        <v>0</v>
      </c>
      <c r="BC117">
        <v>1</v>
      </c>
      <c r="BD117" s="202">
        <v>1</v>
      </c>
      <c r="BI117" t="s">
        <v>82</v>
      </c>
      <c r="BJ117" s="202">
        <v>20.468172484599592</v>
      </c>
      <c r="BK117" s="202">
        <v>623.00000000000011</v>
      </c>
      <c r="BL117">
        <v>0</v>
      </c>
      <c r="BO117">
        <v>20.468172484599592</v>
      </c>
      <c r="BP117">
        <v>623.00000000000011</v>
      </c>
      <c r="BQ117">
        <v>1</v>
      </c>
      <c r="BS117">
        <v>13.174537987679672</v>
      </c>
      <c r="BT117">
        <v>401</v>
      </c>
      <c r="BU117">
        <v>1</v>
      </c>
      <c r="BX117">
        <v>37191</v>
      </c>
      <c r="BY117">
        <v>13.174537987679672</v>
      </c>
      <c r="BZ117">
        <v>401</v>
      </c>
      <c r="CA117">
        <v>1</v>
      </c>
      <c r="CC117">
        <v>13.174537987679672</v>
      </c>
      <c r="CD117">
        <v>401</v>
      </c>
      <c r="CE117" t="s">
        <v>38</v>
      </c>
      <c r="CF117" t="s">
        <v>38</v>
      </c>
      <c r="CG117">
        <v>3</v>
      </c>
      <c r="CH117">
        <v>32.31</v>
      </c>
    </row>
    <row r="118" spans="3:86">
      <c r="C118">
        <v>119</v>
      </c>
      <c r="D118">
        <v>116</v>
      </c>
      <c r="E118">
        <v>9700</v>
      </c>
      <c r="H118" t="s">
        <v>50</v>
      </c>
      <c r="J118" s="202">
        <v>49.117043121149898</v>
      </c>
      <c r="K118">
        <v>0</v>
      </c>
      <c r="L118" t="s">
        <v>190</v>
      </c>
      <c r="M118" t="s">
        <v>109</v>
      </c>
      <c r="N118" t="s">
        <v>504</v>
      </c>
      <c r="O118">
        <v>0</v>
      </c>
      <c r="P118">
        <v>0</v>
      </c>
      <c r="Q118">
        <v>0</v>
      </c>
      <c r="R118">
        <v>1</v>
      </c>
      <c r="S118">
        <v>0</v>
      </c>
      <c r="T118" t="s">
        <v>125</v>
      </c>
      <c r="U118" t="s">
        <v>504</v>
      </c>
      <c r="V118">
        <v>0</v>
      </c>
      <c r="W118">
        <v>0</v>
      </c>
      <c r="X118">
        <v>0</v>
      </c>
      <c r="Y118">
        <v>0</v>
      </c>
      <c r="Z118">
        <v>1</v>
      </c>
      <c r="AA118">
        <v>0</v>
      </c>
      <c r="AD118">
        <v>18.595482546201232</v>
      </c>
      <c r="AE118">
        <v>1</v>
      </c>
      <c r="AF118">
        <v>0</v>
      </c>
      <c r="AG118" t="s">
        <v>390</v>
      </c>
      <c r="AH118">
        <v>1</v>
      </c>
      <c r="AI118" t="s">
        <v>327</v>
      </c>
      <c r="AK118">
        <v>19.285420944558521</v>
      </c>
      <c r="AL118">
        <v>26.381930184804926</v>
      </c>
      <c r="AM118">
        <v>64.262833675564679</v>
      </c>
      <c r="AN118" s="202">
        <v>3</v>
      </c>
      <c r="AO118">
        <v>0</v>
      </c>
      <c r="AR118">
        <v>1.8571428571428572</v>
      </c>
      <c r="AS118">
        <v>10</v>
      </c>
      <c r="AT118">
        <v>5</v>
      </c>
      <c r="AU118">
        <v>50</v>
      </c>
      <c r="AV118">
        <v>1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1</v>
      </c>
      <c r="BD118" s="202">
        <v>1</v>
      </c>
      <c r="BJ118" s="202">
        <v>26.776180698151947</v>
      </c>
      <c r="BK118" s="202">
        <v>814.99999999999989</v>
      </c>
      <c r="BL118">
        <v>0</v>
      </c>
      <c r="BO118">
        <v>26.776180698151947</v>
      </c>
      <c r="BP118">
        <v>814.99999999999989</v>
      </c>
      <c r="BQ118">
        <v>1</v>
      </c>
      <c r="BS118">
        <v>7.4579055441478443</v>
      </c>
      <c r="BT118">
        <v>227</v>
      </c>
      <c r="BU118">
        <v>1</v>
      </c>
      <c r="BX118">
        <v>37047</v>
      </c>
      <c r="BY118">
        <v>7.4579055441478443</v>
      </c>
      <c r="BZ118">
        <v>227</v>
      </c>
      <c r="CA118">
        <v>1</v>
      </c>
      <c r="CC118">
        <v>7.4579055441478443</v>
      </c>
      <c r="CD118">
        <v>227</v>
      </c>
      <c r="CG118">
        <v>1</v>
      </c>
      <c r="CH118">
        <v>7.7</v>
      </c>
    </row>
    <row r="119" spans="3:86">
      <c r="C119">
        <v>123</v>
      </c>
      <c r="D119">
        <v>117</v>
      </c>
      <c r="E119">
        <v>9700</v>
      </c>
      <c r="H119" t="s">
        <v>50</v>
      </c>
      <c r="J119" s="202">
        <v>74.781656399726216</v>
      </c>
      <c r="K119">
        <v>0</v>
      </c>
      <c r="L119" t="s">
        <v>190</v>
      </c>
      <c r="M119" t="s">
        <v>265</v>
      </c>
      <c r="N119" t="s">
        <v>509</v>
      </c>
      <c r="O119">
        <v>0</v>
      </c>
      <c r="P119">
        <v>0</v>
      </c>
      <c r="Q119">
        <v>0</v>
      </c>
      <c r="R119">
        <v>0</v>
      </c>
      <c r="S119">
        <v>0</v>
      </c>
      <c r="T119" t="s">
        <v>10</v>
      </c>
      <c r="U119" t="s">
        <v>509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D119">
        <v>33.806981519507183</v>
      </c>
      <c r="AE119">
        <v>0</v>
      </c>
      <c r="AF119">
        <v>0</v>
      </c>
      <c r="AG119" t="s">
        <v>387</v>
      </c>
      <c r="AH119">
        <v>1</v>
      </c>
      <c r="AI119" t="s">
        <v>315</v>
      </c>
      <c r="AK119">
        <v>8.8706365503080082</v>
      </c>
      <c r="AL119">
        <v>0</v>
      </c>
      <c r="AM119">
        <v>42.677618069815196</v>
      </c>
      <c r="AN119" s="202">
        <v>4</v>
      </c>
      <c r="AO119">
        <v>0</v>
      </c>
      <c r="AR119">
        <v>1.8571428571428572</v>
      </c>
      <c r="AS119">
        <v>10</v>
      </c>
      <c r="AT119">
        <v>5</v>
      </c>
      <c r="AU119">
        <v>50</v>
      </c>
      <c r="AV119">
        <v>0</v>
      </c>
      <c r="AW119">
        <v>0</v>
      </c>
      <c r="AX119">
        <v>1</v>
      </c>
      <c r="AY119">
        <v>0</v>
      </c>
      <c r="AZ119">
        <v>0</v>
      </c>
      <c r="BA119">
        <v>0</v>
      </c>
      <c r="BB119">
        <v>0</v>
      </c>
      <c r="BC119">
        <v>1</v>
      </c>
      <c r="BD119" s="202">
        <v>1</v>
      </c>
      <c r="BJ119" s="202">
        <v>13.470225872689939</v>
      </c>
      <c r="BK119" s="202">
        <v>410</v>
      </c>
      <c r="BL119">
        <v>0</v>
      </c>
      <c r="BO119">
        <v>13.470225872689939</v>
      </c>
      <c r="BP119">
        <v>410</v>
      </c>
      <c r="BQ119">
        <v>1</v>
      </c>
      <c r="BS119">
        <v>11.367556468172484</v>
      </c>
      <c r="BT119">
        <v>346</v>
      </c>
      <c r="BU119">
        <v>1</v>
      </c>
      <c r="BX119">
        <v>37212</v>
      </c>
      <c r="BY119">
        <v>11.367556468172484</v>
      </c>
      <c r="BZ119">
        <v>346</v>
      </c>
      <c r="CA119">
        <v>1</v>
      </c>
      <c r="CC119">
        <v>11.367556468172484</v>
      </c>
      <c r="CD119">
        <v>346</v>
      </c>
      <c r="CG119">
        <v>4</v>
      </c>
      <c r="CH119">
        <v>99.140000000000015</v>
      </c>
    </row>
    <row r="120" spans="3:86">
      <c r="C120">
        <v>126</v>
      </c>
      <c r="D120">
        <v>118</v>
      </c>
      <c r="E120">
        <v>9700</v>
      </c>
      <c r="H120" t="s">
        <v>121</v>
      </c>
      <c r="J120" s="202">
        <v>72.28747433264887</v>
      </c>
      <c r="K120">
        <v>0</v>
      </c>
      <c r="L120" t="s">
        <v>34</v>
      </c>
      <c r="M120" t="s">
        <v>270</v>
      </c>
      <c r="N120" t="s">
        <v>511</v>
      </c>
      <c r="O120">
        <v>0</v>
      </c>
      <c r="P120">
        <v>0</v>
      </c>
      <c r="Q120">
        <v>0</v>
      </c>
      <c r="R120">
        <v>0</v>
      </c>
      <c r="S120">
        <v>1</v>
      </c>
      <c r="T120" t="s">
        <v>412</v>
      </c>
      <c r="U120" t="s">
        <v>505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1</v>
      </c>
      <c r="AD120">
        <v>18.924024640657084</v>
      </c>
      <c r="AE120">
        <v>0</v>
      </c>
      <c r="AF120">
        <v>0</v>
      </c>
      <c r="AG120" t="s">
        <v>391</v>
      </c>
      <c r="AH120">
        <v>0</v>
      </c>
      <c r="AI120" t="s">
        <v>315</v>
      </c>
      <c r="AK120">
        <v>2.5954825462012319</v>
      </c>
      <c r="AL120">
        <v>0</v>
      </c>
      <c r="AM120">
        <v>21.519507186858316</v>
      </c>
      <c r="AN120" s="202">
        <v>1</v>
      </c>
      <c r="AO120">
        <v>1</v>
      </c>
      <c r="AR120">
        <v>1.8571428571428572</v>
      </c>
      <c r="AS120">
        <v>10</v>
      </c>
      <c r="AT120">
        <v>5</v>
      </c>
      <c r="AU120">
        <v>50</v>
      </c>
      <c r="AV120">
        <v>0</v>
      </c>
      <c r="AW120">
        <v>0</v>
      </c>
      <c r="AX120">
        <v>1</v>
      </c>
      <c r="AY120">
        <v>0</v>
      </c>
      <c r="AZ120">
        <v>0</v>
      </c>
      <c r="BA120">
        <v>0</v>
      </c>
      <c r="BB120">
        <v>0</v>
      </c>
      <c r="BC120">
        <v>1</v>
      </c>
      <c r="BD120" s="202">
        <v>1</v>
      </c>
      <c r="BI120" t="s">
        <v>82</v>
      </c>
      <c r="BJ120" s="202">
        <v>21.749486652977414</v>
      </c>
      <c r="BK120" s="202">
        <v>662</v>
      </c>
      <c r="BL120">
        <v>0</v>
      </c>
      <c r="BO120">
        <v>21.749486652977414</v>
      </c>
      <c r="BP120">
        <v>662</v>
      </c>
      <c r="BQ120">
        <v>1</v>
      </c>
      <c r="BS120">
        <v>18.595482546201232</v>
      </c>
      <c r="BT120">
        <v>566</v>
      </c>
      <c r="BU120">
        <v>1</v>
      </c>
      <c r="BX120">
        <v>37454</v>
      </c>
      <c r="BY120">
        <v>18.595482546201232</v>
      </c>
      <c r="BZ120">
        <v>566</v>
      </c>
      <c r="CA120">
        <v>1</v>
      </c>
      <c r="CC120">
        <v>18.595482546201232</v>
      </c>
      <c r="CD120">
        <v>566</v>
      </c>
      <c r="CG120">
        <v>3</v>
      </c>
      <c r="CH120">
        <v>38.6</v>
      </c>
    </row>
    <row r="121" spans="3:86">
      <c r="C121">
        <v>127</v>
      </c>
      <c r="D121">
        <v>119</v>
      </c>
      <c r="E121">
        <v>9700</v>
      </c>
      <c r="H121" t="s">
        <v>121</v>
      </c>
      <c r="J121" s="202">
        <v>49.278576317590691</v>
      </c>
      <c r="K121">
        <v>0</v>
      </c>
      <c r="L121" t="s">
        <v>34</v>
      </c>
      <c r="M121" t="s">
        <v>124</v>
      </c>
      <c r="N121" t="s">
        <v>509</v>
      </c>
      <c r="O121">
        <v>0</v>
      </c>
      <c r="P121">
        <v>0</v>
      </c>
      <c r="Q121">
        <v>0</v>
      </c>
      <c r="R121">
        <v>0</v>
      </c>
      <c r="S121">
        <v>0</v>
      </c>
      <c r="T121" t="s">
        <v>124</v>
      </c>
      <c r="U121" t="s">
        <v>509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D121">
        <v>50.759753593429153</v>
      </c>
      <c r="AE121">
        <v>0</v>
      </c>
      <c r="AF121">
        <v>0</v>
      </c>
      <c r="AG121" t="s">
        <v>388</v>
      </c>
      <c r="AH121">
        <v>0</v>
      </c>
      <c r="AI121" t="s">
        <v>327</v>
      </c>
      <c r="AK121">
        <v>1.1170431211498972</v>
      </c>
      <c r="AL121">
        <v>0</v>
      </c>
      <c r="AM121">
        <v>51.876796714579058</v>
      </c>
      <c r="AN121" s="202">
        <v>1</v>
      </c>
      <c r="AO121">
        <v>1</v>
      </c>
      <c r="AR121">
        <v>1.8571428571428572</v>
      </c>
      <c r="AS121">
        <v>10</v>
      </c>
      <c r="AT121">
        <v>5</v>
      </c>
      <c r="AU121">
        <v>50</v>
      </c>
      <c r="AV121">
        <v>1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1</v>
      </c>
      <c r="BD121" s="202">
        <v>1</v>
      </c>
      <c r="BJ121" s="202">
        <v>9.1334702258726903</v>
      </c>
      <c r="BK121" s="202">
        <v>278</v>
      </c>
      <c r="BL121">
        <v>0</v>
      </c>
      <c r="BO121">
        <v>9.1334702258726903</v>
      </c>
      <c r="BP121">
        <v>278</v>
      </c>
      <c r="BQ121">
        <v>1</v>
      </c>
      <c r="BS121">
        <v>9.1006160164271055</v>
      </c>
      <c r="BT121">
        <v>277.00000000000006</v>
      </c>
      <c r="BX121">
        <v>37164</v>
      </c>
      <c r="BY121">
        <v>9.1006160164271055</v>
      </c>
      <c r="BZ121">
        <v>277.00000000000006</v>
      </c>
      <c r="CA121">
        <v>1</v>
      </c>
      <c r="CC121">
        <v>9.1006160164271055</v>
      </c>
      <c r="CD121">
        <v>277.00000000000006</v>
      </c>
      <c r="CE121" t="s">
        <v>38</v>
      </c>
      <c r="CF121" t="s">
        <v>38</v>
      </c>
      <c r="CG121">
        <v>1</v>
      </c>
      <c r="CH121">
        <v>1.82</v>
      </c>
    </row>
    <row r="122" spans="3:86">
      <c r="C122">
        <v>130</v>
      </c>
      <c r="D122">
        <v>120</v>
      </c>
      <c r="E122">
        <v>9700</v>
      </c>
      <c r="H122" t="s">
        <v>121</v>
      </c>
      <c r="J122" s="202">
        <v>48.484599589322379</v>
      </c>
      <c r="K122">
        <v>0</v>
      </c>
      <c r="L122" t="s">
        <v>49</v>
      </c>
      <c r="M122" t="s">
        <v>64</v>
      </c>
      <c r="N122" t="s">
        <v>107</v>
      </c>
      <c r="O122">
        <v>1</v>
      </c>
      <c r="P122">
        <v>0</v>
      </c>
      <c r="Q122">
        <v>0</v>
      </c>
      <c r="R122">
        <v>0</v>
      </c>
      <c r="S122">
        <v>0</v>
      </c>
      <c r="T122" t="s">
        <v>155</v>
      </c>
      <c r="U122" t="s">
        <v>402</v>
      </c>
      <c r="V122">
        <v>1</v>
      </c>
      <c r="W122">
        <v>0</v>
      </c>
      <c r="X122">
        <v>0</v>
      </c>
      <c r="Y122">
        <v>0</v>
      </c>
      <c r="Z122">
        <v>0</v>
      </c>
      <c r="AA122">
        <v>0</v>
      </c>
      <c r="AD122">
        <v>34.989733059548257</v>
      </c>
      <c r="AE122">
        <v>1</v>
      </c>
      <c r="AF122">
        <v>0</v>
      </c>
      <c r="AG122" t="s">
        <v>387</v>
      </c>
      <c r="AH122">
        <v>1</v>
      </c>
      <c r="AI122" t="s">
        <v>327</v>
      </c>
      <c r="AK122">
        <v>16.821355236139631</v>
      </c>
      <c r="AL122">
        <v>4.9609856262833674</v>
      </c>
      <c r="AM122">
        <v>56.772073921971256</v>
      </c>
      <c r="AN122" s="202">
        <v>3</v>
      </c>
      <c r="AO122">
        <v>0</v>
      </c>
      <c r="AR122">
        <v>2</v>
      </c>
      <c r="AS122">
        <v>10</v>
      </c>
      <c r="AT122">
        <v>5</v>
      </c>
      <c r="AU122">
        <v>50</v>
      </c>
      <c r="AV122">
        <v>0</v>
      </c>
      <c r="AW122">
        <v>1</v>
      </c>
      <c r="AX122">
        <v>0</v>
      </c>
      <c r="AY122">
        <v>0</v>
      </c>
      <c r="AZ122">
        <v>1</v>
      </c>
      <c r="BA122">
        <v>0</v>
      </c>
      <c r="BB122">
        <v>0</v>
      </c>
      <c r="BC122">
        <v>2</v>
      </c>
      <c r="BD122" s="202">
        <v>1</v>
      </c>
      <c r="BI122" t="s">
        <v>82</v>
      </c>
      <c r="BJ122" s="202">
        <v>8.3449691991786441</v>
      </c>
      <c r="BK122" s="202">
        <v>253.99999999999997</v>
      </c>
      <c r="BL122">
        <v>0</v>
      </c>
      <c r="BO122">
        <v>8.3449691991786441</v>
      </c>
      <c r="BP122">
        <v>253.99999999999997</v>
      </c>
      <c r="BQ122">
        <v>1</v>
      </c>
      <c r="BS122">
        <v>5.6509240246406574</v>
      </c>
      <c r="BT122">
        <v>172</v>
      </c>
      <c r="BU122">
        <v>1</v>
      </c>
      <c r="BX122">
        <v>36964</v>
      </c>
      <c r="BY122">
        <v>5.6509240246406574</v>
      </c>
      <c r="BZ122">
        <v>172</v>
      </c>
      <c r="CA122">
        <v>1</v>
      </c>
      <c r="CC122">
        <v>5.6509240246406574</v>
      </c>
      <c r="CD122">
        <v>172</v>
      </c>
      <c r="CE122" t="s">
        <v>38</v>
      </c>
      <c r="CF122" t="s">
        <v>38</v>
      </c>
      <c r="CG122">
        <v>3</v>
      </c>
      <c r="CH122">
        <v>47.94</v>
      </c>
    </row>
    <row r="123" spans="3:86">
      <c r="C123">
        <v>137</v>
      </c>
      <c r="D123">
        <v>121</v>
      </c>
      <c r="E123">
        <v>9700</v>
      </c>
      <c r="H123" t="s">
        <v>121</v>
      </c>
      <c r="J123" s="202">
        <v>68.290212183435997</v>
      </c>
      <c r="K123">
        <v>0</v>
      </c>
      <c r="L123" t="s">
        <v>170</v>
      </c>
      <c r="M123" t="s">
        <v>343</v>
      </c>
      <c r="N123" t="s">
        <v>509</v>
      </c>
      <c r="O123">
        <v>0</v>
      </c>
      <c r="P123">
        <v>0</v>
      </c>
      <c r="Q123">
        <v>0</v>
      </c>
      <c r="R123">
        <v>0</v>
      </c>
      <c r="S123">
        <v>0</v>
      </c>
      <c r="T123" t="s">
        <v>342</v>
      </c>
      <c r="U123" t="s">
        <v>506</v>
      </c>
      <c r="V123">
        <v>0</v>
      </c>
      <c r="W123">
        <v>0</v>
      </c>
      <c r="X123">
        <v>1</v>
      </c>
      <c r="Y123">
        <v>0</v>
      </c>
      <c r="Z123">
        <v>0</v>
      </c>
      <c r="AA123">
        <v>0</v>
      </c>
      <c r="AD123">
        <v>31.638603696098563</v>
      </c>
      <c r="AE123">
        <v>0</v>
      </c>
      <c r="AF123">
        <v>0</v>
      </c>
      <c r="AG123" t="s">
        <v>389</v>
      </c>
      <c r="AH123">
        <v>1</v>
      </c>
      <c r="AI123" t="s">
        <v>327</v>
      </c>
      <c r="AK123">
        <v>9.0349075975359341</v>
      </c>
      <c r="AL123">
        <v>0</v>
      </c>
      <c r="AM123">
        <v>40.673511293634498</v>
      </c>
      <c r="AN123" s="202">
        <v>5</v>
      </c>
      <c r="AO123">
        <v>0</v>
      </c>
      <c r="AR123">
        <v>1.8571428571428572</v>
      </c>
      <c r="AS123">
        <v>4</v>
      </c>
      <c r="AT123">
        <v>10</v>
      </c>
      <c r="AU123">
        <v>40</v>
      </c>
      <c r="AV123">
        <v>1</v>
      </c>
      <c r="AW123">
        <v>1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2</v>
      </c>
      <c r="BD123" s="202">
        <v>1</v>
      </c>
      <c r="BJ123" s="202">
        <v>20.960985626283367</v>
      </c>
      <c r="BK123" s="202">
        <v>638</v>
      </c>
      <c r="BL123">
        <v>1</v>
      </c>
      <c r="BN123">
        <v>8.5092402464065717</v>
      </c>
      <c r="BO123">
        <v>9.3634496919917858</v>
      </c>
      <c r="BP123">
        <v>284.99999999999994</v>
      </c>
      <c r="BQ123">
        <v>1</v>
      </c>
      <c r="BS123">
        <v>8.1806981519507183</v>
      </c>
      <c r="BT123">
        <v>249</v>
      </c>
      <c r="BU123">
        <v>1</v>
      </c>
      <c r="BX123">
        <v>37251</v>
      </c>
      <c r="BY123">
        <v>8.1806981519507183</v>
      </c>
      <c r="BZ123">
        <v>249</v>
      </c>
      <c r="CA123">
        <v>1</v>
      </c>
      <c r="CC123">
        <v>8.1806981519507183</v>
      </c>
      <c r="CD123">
        <v>249</v>
      </c>
      <c r="CG123">
        <v>3</v>
      </c>
      <c r="CH123">
        <v>34.92</v>
      </c>
    </row>
    <row r="124" spans="3:86">
      <c r="O124">
        <v>0</v>
      </c>
      <c r="P124">
        <v>0</v>
      </c>
      <c r="Q124">
        <v>0</v>
      </c>
      <c r="R124">
        <v>0</v>
      </c>
      <c r="S124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</vt:lpstr>
      <vt:lpstr>Sheet1</vt:lpstr>
      <vt:lpstr>all!Database</vt:lpstr>
      <vt:lpstr>all!Print_Area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Milano</cp:lastModifiedBy>
  <cp:lastPrinted>2007-06-19T17:07:52Z</cp:lastPrinted>
  <dcterms:created xsi:type="dcterms:W3CDTF">2005-11-01T18:19:07Z</dcterms:created>
  <dcterms:modified xsi:type="dcterms:W3CDTF">2010-06-30T19:21:14Z</dcterms:modified>
</cp:coreProperties>
</file>